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mulative" sheetId="1" r:id="rId4"/>
    <sheet state="visible" name="SSW" sheetId="2" r:id="rId5"/>
    <sheet state="visible" name="OTPT" sheetId="3" r:id="rId6"/>
    <sheet state="visible" name="psych" sheetId="4" r:id="rId7"/>
    <sheet state="visible" name="slp" sheetId="5" r:id="rId8"/>
    <sheet state="visible" name="prof dev" sheetId="6" r:id="rId9"/>
    <sheet state="visible" name="exec" sheetId="7" r:id="rId10"/>
    <sheet state="visible" name="O &amp; M" sheetId="8" r:id="rId11"/>
    <sheet state="visible" name="TAS" sheetId="9" r:id="rId12"/>
    <sheet state="visible" name="admin asst" sheetId="10" r:id="rId13"/>
    <sheet state="visible" name="Other" sheetId="11" r:id="rId14"/>
  </sheets>
  <definedNames/>
  <calcPr/>
  <extLst>
    <ext uri="GoogleSheetsCustomDataVersion2">
      <go:sheetsCustomData xmlns:go="http://customooxmlschemas.google.com/" r:id="rId15" roundtripDataChecksum="YHXlpZaRh23X8T/iiNVm46OeSzM8By675ljsyG6MILw="/>
    </ext>
  </extLst>
</workbook>
</file>

<file path=xl/sharedStrings.xml><?xml version="1.0" encoding="utf-8"?>
<sst xmlns="http://schemas.openxmlformats.org/spreadsheetml/2006/main" count="703" uniqueCount="348">
  <si>
    <t>Tri-County Special Education Association</t>
  </si>
  <si>
    <t>Budget Planning Worksheet</t>
  </si>
  <si>
    <t>x</t>
  </si>
  <si>
    <t>Initial Budget</t>
  </si>
  <si>
    <t>Cumulative Assessment 24</t>
  </si>
  <si>
    <t>Amendment Number</t>
  </si>
  <si>
    <t>Beginning
Date:</t>
  </si>
  <si>
    <t>EndDate:     6/30/24</t>
  </si>
  <si>
    <t xml:space="preserve">     Line</t>
  </si>
  <si>
    <t>Funct. No.
1</t>
  </si>
  <si>
    <t>EXPENDITURE ACCOUNT
2</t>
  </si>
  <si>
    <t>SALARIES
3
(Obj. 100's)</t>
  </si>
  <si>
    <t>EMPLOYEE BENEFITS 
4 
(Obj. 200's)</t>
  </si>
  <si>
    <t>PURCHASED SERVICES
5
(Obj. 300's)</t>
  </si>
  <si>
    <t>SUPPLIES &amp; MATERIALS
6
(Obj. 400's)</t>
  </si>
  <si>
    <t>CAPITAL OUTLAY**
7
(Obj. 500's)</t>
  </si>
  <si>
    <t>OTHER OBJECTS
8
(Obj. 600's)</t>
  </si>
  <si>
    <t>TRANSFERS
9
(Obj. 700's)</t>
  </si>
  <si>
    <t xml:space="preserve">TOTAL
11
</t>
  </si>
  <si>
    <t>Salaries</t>
  </si>
  <si>
    <t>Attendance &amp; Social Work Service</t>
  </si>
  <si>
    <t>Guidance Services</t>
  </si>
  <si>
    <t>Health Services</t>
  </si>
  <si>
    <t>Psychological Services</t>
  </si>
  <si>
    <t>Speech Pathology &amp; Audiology</t>
  </si>
  <si>
    <t>Improvement of Instruction</t>
  </si>
  <si>
    <t>Educational Media Services</t>
  </si>
  <si>
    <t>Tuition</t>
  </si>
  <si>
    <t>General Administration</t>
  </si>
  <si>
    <t>Direction of Business Support*</t>
  </si>
  <si>
    <t>Fiscal Services*</t>
  </si>
  <si>
    <t>Facilities Acquisition &amp; Constr.</t>
  </si>
  <si>
    <t>Operation &amp; Maintenance of Plant</t>
  </si>
  <si>
    <t>Internal Services*</t>
  </si>
  <si>
    <t>Direction of Central Support</t>
  </si>
  <si>
    <t>Planning, Research, Dev. &amp; Eval.</t>
  </si>
  <si>
    <t>Information Services</t>
  </si>
  <si>
    <t>Staff Services*</t>
  </si>
  <si>
    <t>Data Processing Services*</t>
  </si>
  <si>
    <t>Other Support Services</t>
  </si>
  <si>
    <t>Community Service</t>
  </si>
  <si>
    <t>Contingency</t>
  </si>
  <si>
    <t>Payments to Other Gov. Units</t>
  </si>
  <si>
    <t>Total Direct Costs</t>
  </si>
  <si>
    <t>Approved Indirect Costs X ________%</t>
  </si>
  <si>
    <t>FY23</t>
  </si>
  <si>
    <t>TOTAL BUDGET</t>
  </si>
  <si>
    <t>Name</t>
  </si>
  <si>
    <t>FTE</t>
  </si>
  <si>
    <t>IRS Salary</t>
  </si>
  <si>
    <t>travel stipend</t>
  </si>
  <si>
    <t>Gross IRS salary</t>
  </si>
  <si>
    <t>Board Paid TRS  9%</t>
  </si>
  <si>
    <t>2.16 %       THIS</t>
  </si>
  <si>
    <t>.58%           NEC</t>
  </si>
  <si>
    <t>TRS Salary</t>
  </si>
  <si>
    <t>1.45%         Med</t>
  </si>
  <si>
    <t>6.2%             FICA</t>
  </si>
  <si>
    <t>Health Ins</t>
  </si>
  <si>
    <t>Heyworth</t>
  </si>
  <si>
    <t>RAS</t>
  </si>
  <si>
    <t>Olympia</t>
  </si>
  <si>
    <t>Clinton</t>
  </si>
  <si>
    <t>Lincoln 27</t>
  </si>
  <si>
    <t>CEL</t>
  </si>
  <si>
    <t xml:space="preserve">Ridgeview </t>
  </si>
  <si>
    <t>BR</t>
  </si>
  <si>
    <t>leroy</t>
  </si>
  <si>
    <t>TV</t>
  </si>
  <si>
    <t>Block, Tara</t>
  </si>
  <si>
    <t>Days</t>
  </si>
  <si>
    <t>Average</t>
  </si>
  <si>
    <t>Dierker, Allison</t>
  </si>
  <si>
    <t>5 days</t>
  </si>
  <si>
    <t>OLY</t>
  </si>
  <si>
    <t>Total</t>
  </si>
  <si>
    <t>Bland, Hannah</t>
  </si>
  <si>
    <t>Duggins, Delyn</t>
  </si>
  <si>
    <t>Earle, Michelle</t>
  </si>
  <si>
    <t>Etheridge, Jeanne</t>
  </si>
  <si>
    <t xml:space="preserve">1 Day </t>
  </si>
  <si>
    <t>Kemp, Brittany</t>
  </si>
  <si>
    <t>2day</t>
  </si>
  <si>
    <t>cel&amp; Hartem</t>
  </si>
  <si>
    <t>King, Heather</t>
  </si>
  <si>
    <t>2 day BR</t>
  </si>
  <si>
    <t>BLue Ridge</t>
  </si>
  <si>
    <t>L27</t>
  </si>
  <si>
    <t>Natasha Syed</t>
  </si>
  <si>
    <t>5 days clinton</t>
  </si>
  <si>
    <t>Morgan Stong</t>
  </si>
  <si>
    <t>1 day</t>
  </si>
  <si>
    <t>blue ridge</t>
  </si>
  <si>
    <t>Ruppert, Emilie</t>
  </si>
  <si>
    <t>Jesus Yepez</t>
  </si>
  <si>
    <t xml:space="preserve">.5 day </t>
  </si>
  <si>
    <t>Welter, Wendy</t>
  </si>
  <si>
    <t xml:space="preserve">1 day </t>
  </si>
  <si>
    <t>ridgeview</t>
  </si>
  <si>
    <t>Walters, Sarah</t>
  </si>
  <si>
    <t>ROE</t>
  </si>
  <si>
    <t xml:space="preserve">Leroy </t>
  </si>
  <si>
    <t>Tracie Marcheschi</t>
  </si>
  <si>
    <t>1 Intern</t>
  </si>
  <si>
    <t xml:space="preserve"> </t>
  </si>
  <si>
    <t>TOTALS</t>
  </si>
  <si>
    <t>2110-300 Purch Svc</t>
  </si>
  <si>
    <t>Unemp Ins</t>
  </si>
  <si>
    <t>Salary</t>
  </si>
  <si>
    <t>TRS</t>
  </si>
  <si>
    <t>WC Ins</t>
  </si>
  <si>
    <t>Benefits</t>
  </si>
  <si>
    <t>THIS</t>
  </si>
  <si>
    <t>Travel @ $.585/mi</t>
  </si>
  <si>
    <t>Pur Svc</t>
  </si>
  <si>
    <t>NEC</t>
  </si>
  <si>
    <t>Contractual SSW</t>
  </si>
  <si>
    <t>Supply</t>
  </si>
  <si>
    <t>Med</t>
  </si>
  <si>
    <t>Total PS</t>
  </si>
  <si>
    <t>Capital</t>
  </si>
  <si>
    <t>FICA</t>
  </si>
  <si>
    <t>2110-400 Sup, Matl</t>
  </si>
  <si>
    <t>H/L ins</t>
  </si>
  <si>
    <t>2110-500 Capital</t>
  </si>
  <si>
    <t>Total SSW</t>
  </si>
  <si>
    <t>WC</t>
  </si>
  <si>
    <t>add SW</t>
  </si>
  <si>
    <t>UC</t>
  </si>
  <si>
    <t>Personnel</t>
  </si>
  <si>
    <t>District bill</t>
  </si>
  <si>
    <t>salary</t>
  </si>
  <si>
    <t>travel</t>
  </si>
  <si>
    <t>supplies</t>
  </si>
  <si>
    <t>capitol</t>
  </si>
  <si>
    <t>total cost</t>
  </si>
  <si>
    <t>avg/year</t>
  </si>
  <si>
    <t>1 day all year avg</t>
  </si>
  <si>
    <t>avg\day</t>
  </si>
  <si>
    <t>stipend</t>
  </si>
  <si>
    <t>12.75% IMRF</t>
  </si>
  <si>
    <t>OT bill</t>
  </si>
  <si>
    <t>PT Bill</t>
  </si>
  <si>
    <t>Molly Walter</t>
  </si>
  <si>
    <t>Anderson, Lesley</t>
  </si>
  <si>
    <t>add'l COTAs</t>
  </si>
  <si>
    <t>Heather Tyson PT</t>
  </si>
  <si>
    <t>Riedle, Jennifer</t>
  </si>
  <si>
    <t>Belanger, Sydney</t>
  </si>
  <si>
    <t>Catherine Lux</t>
  </si>
  <si>
    <t>Jamie Holland</t>
  </si>
  <si>
    <t>Lagreca, Shawna</t>
  </si>
  <si>
    <t>Alexis Kufner</t>
  </si>
  <si>
    <t>Total Salaries</t>
  </si>
  <si>
    <t>Lawless, Kristine</t>
  </si>
  <si>
    <t>Derges, Sara</t>
  </si>
  <si>
    <t>Evans, Shacorrah</t>
  </si>
  <si>
    <t>Burge, Sara</t>
  </si>
  <si>
    <t>Vonachen, Julia</t>
  </si>
  <si>
    <t>Total Contractual</t>
  </si>
  <si>
    <t>2130-300 Purch Svc</t>
  </si>
  <si>
    <t>Contractual OT/PT</t>
  </si>
  <si>
    <t>2130-400 Sup, Matl</t>
  </si>
  <si>
    <t>2130-500 Capital</t>
  </si>
  <si>
    <t>Total Therapy</t>
  </si>
  <si>
    <t>IMRF</t>
  </si>
  <si>
    <t>Harris, Beth</t>
  </si>
  <si>
    <t>Kris Morgan</t>
  </si>
  <si>
    <t>Lanning, Dawn</t>
  </si>
  <si>
    <t>Macpherson, Jenni</t>
  </si>
  <si>
    <t>McCraith, Kelly</t>
  </si>
  <si>
    <t>Snodgrass, Tim</t>
  </si>
  <si>
    <t>Julie Hesse</t>
  </si>
  <si>
    <t>Varble, Raquel</t>
  </si>
  <si>
    <t>Bethany Hoffert</t>
  </si>
  <si>
    <t>Tammy Hughes</t>
  </si>
  <si>
    <t>Kelli Brown</t>
  </si>
  <si>
    <t>Kelly in Olympia</t>
  </si>
  <si>
    <t>Luke Jasinski</t>
  </si>
  <si>
    <t>intern</t>
  </si>
  <si>
    <t>2140-300 Purch Svc</t>
  </si>
  <si>
    <t>Contractual psych</t>
  </si>
  <si>
    <t>2140-400 Sup, Matl</t>
  </si>
  <si>
    <t>2140-500 Capital</t>
  </si>
  <si>
    <t>Total PSY</t>
  </si>
  <si>
    <t>For Bill</t>
  </si>
  <si>
    <t>Shared SLP time</t>
  </si>
  <si>
    <t>Sarah Epplin</t>
  </si>
  <si>
    <t>Callie Francisco</t>
  </si>
  <si>
    <t>Claire Conrady</t>
  </si>
  <si>
    <t>Larkin, Trish</t>
  </si>
  <si>
    <t>Anderson, Carrie</t>
  </si>
  <si>
    <t>Edgington, Rebecca</t>
  </si>
  <si>
    <t>Russow, Katie</t>
  </si>
  <si>
    <t>Natalie McCarthy</t>
  </si>
  <si>
    <t>Contractual SLP</t>
  </si>
  <si>
    <t>ISU</t>
  </si>
  <si>
    <t>TOTAL</t>
  </si>
  <si>
    <t xml:space="preserve">  </t>
  </si>
  <si>
    <t>2150-300 Purch Svc</t>
  </si>
  <si>
    <t>2150-400 Sup, Matl</t>
  </si>
  <si>
    <t>2150-500 Capital</t>
  </si>
  <si>
    <t>Total SLP</t>
  </si>
  <si>
    <t xml:space="preserve">Billing for </t>
  </si>
  <si>
    <t xml:space="preserve">Speech-Language Pathology Services </t>
  </si>
  <si>
    <t>2023-24 School Year</t>
  </si>
  <si>
    <t>First Semester</t>
  </si>
  <si>
    <t xml:space="preserve">Shared </t>
  </si>
  <si>
    <t xml:space="preserve">Cost </t>
  </si>
  <si>
    <t>Avg1.0FTE</t>
  </si>
  <si>
    <t xml:space="preserve">Less </t>
  </si>
  <si>
    <t>Net</t>
  </si>
  <si>
    <t>Actual</t>
  </si>
  <si>
    <t>FY24</t>
  </si>
  <si>
    <t>Gross</t>
  </si>
  <si>
    <t xml:space="preserve">Annual </t>
  </si>
  <si>
    <t>Semester</t>
  </si>
  <si>
    <t>Annual $</t>
  </si>
  <si>
    <t>Reimb</t>
  </si>
  <si>
    <t>Cost</t>
  </si>
  <si>
    <t>H-EM</t>
  </si>
  <si>
    <t>Leroy</t>
  </si>
  <si>
    <t>NH-M</t>
  </si>
  <si>
    <t>WLB*</t>
  </si>
  <si>
    <t>EPG</t>
  </si>
  <si>
    <t>Mt. Pulaski</t>
  </si>
  <si>
    <t>Blue Ridge</t>
  </si>
  <si>
    <t>Please remit the 1st Semester Cost for your district to Tri-County Special Education Association, 105 E. Hamilton Road, Bloomington, Illinois  61704.</t>
  </si>
  <si>
    <t>Professional Development</t>
  </si>
  <si>
    <t>2210-300  Purchased Services</t>
  </si>
  <si>
    <t>Infinitec  75* enrollment</t>
  </si>
  <si>
    <t>TCSEA PD costs - staff</t>
  </si>
  <si>
    <t>Total 2210-300</t>
  </si>
  <si>
    <t>2210-400  Supplies, materials</t>
  </si>
  <si>
    <t>Supplies, books</t>
  </si>
  <si>
    <t>Food</t>
  </si>
  <si>
    <t>Total 2210-400</t>
  </si>
  <si>
    <t>2210-500  Equipment over $500</t>
  </si>
  <si>
    <t>tables and chairs for lincoln Office</t>
  </si>
  <si>
    <t>Total 2210-500</t>
  </si>
  <si>
    <t>2210-300</t>
  </si>
  <si>
    <t>2210-400</t>
  </si>
  <si>
    <t>2210-500</t>
  </si>
  <si>
    <t>Hogan, Scott</t>
  </si>
  <si>
    <t>Totals</t>
  </si>
  <si>
    <t>Purchased Svcs</t>
  </si>
  <si>
    <t>Supplies, Materials</t>
  </si>
  <si>
    <t>Travel</t>
  </si>
  <si>
    <t>Office supplies</t>
  </si>
  <si>
    <t>Treasurers Bond</t>
  </si>
  <si>
    <t>Verkada and Ready Sign</t>
  </si>
  <si>
    <t>Printing</t>
  </si>
  <si>
    <t>Audit</t>
  </si>
  <si>
    <t>Equipment</t>
  </si>
  <si>
    <t>Legal</t>
  </si>
  <si>
    <t>3 Computers and IPAD</t>
  </si>
  <si>
    <t>Postage</t>
  </si>
  <si>
    <t>Liability Ins</t>
  </si>
  <si>
    <t>Professional Devel</t>
  </si>
  <si>
    <t>PRESS</t>
  </si>
  <si>
    <t>2320-100</t>
  </si>
  <si>
    <t>2320-200</t>
  </si>
  <si>
    <t>2320-300</t>
  </si>
  <si>
    <t>2320-400</t>
  </si>
  <si>
    <t>2320-500</t>
  </si>
  <si>
    <t>Total Dir</t>
  </si>
  <si>
    <t>Operation &amp; Maintenance</t>
  </si>
  <si>
    <t>2540-100</t>
  </si>
  <si>
    <t>Custodial - M Moos</t>
  </si>
  <si>
    <t>2540-300  Purchased Services</t>
  </si>
  <si>
    <t>Custodial Services</t>
  </si>
  <si>
    <t>Property Services</t>
  </si>
  <si>
    <t>Repair &amp; Maintenance</t>
  </si>
  <si>
    <t>Water, sewer</t>
  </si>
  <si>
    <t>Telephone, T1, TAS cell</t>
  </si>
  <si>
    <t>Total 2540-300</t>
  </si>
  <si>
    <t>2540-400  Supplies, Mat'ls</t>
  </si>
  <si>
    <t>2540-200</t>
  </si>
  <si>
    <t>Property supplies</t>
  </si>
  <si>
    <t>2540-300</t>
  </si>
  <si>
    <t>Natural gas</t>
  </si>
  <si>
    <t>2540-400</t>
  </si>
  <si>
    <t>Electric</t>
  </si>
  <si>
    <t>2540-500</t>
  </si>
  <si>
    <t>Total 2540-400</t>
  </si>
  <si>
    <t>Total 2540</t>
  </si>
  <si>
    <t>2540-500  Capital outlay</t>
  </si>
  <si>
    <t>Shared TAS costs</t>
  </si>
  <si>
    <t>Kari</t>
  </si>
  <si>
    <t>AD</t>
  </si>
  <si>
    <t>Blaire Green</t>
  </si>
  <si>
    <t>sup&amp;mat</t>
  </si>
  <si>
    <t>Payne, Ginger</t>
  </si>
  <si>
    <t>Gloede, Lyndsay</t>
  </si>
  <si>
    <t>total to districts</t>
  </si>
  <si>
    <t>2900-300 Purch Svc</t>
  </si>
  <si>
    <t>Dean, Kris</t>
  </si>
  <si>
    <t>POWER IEP</t>
  </si>
  <si>
    <t>Travel @ $.655/mi</t>
  </si>
  <si>
    <t>2900-400 Sup, Matl</t>
  </si>
  <si>
    <t>2900-500 Capital</t>
  </si>
  <si>
    <t>District Costs--Technical Assistance Supervision.</t>
  </si>
  <si>
    <t>2023-24 School Year--First and Second Semester</t>
  </si>
  <si>
    <t>Total Cost (2.7 FTE)</t>
  </si>
  <si>
    <t>1st Sem.</t>
  </si>
  <si>
    <t>Cost each 1.0 FTE</t>
  </si>
  <si>
    <t>Less</t>
  </si>
  <si>
    <t>FY 24</t>
  </si>
  <si>
    <t xml:space="preserve">District </t>
  </si>
  <si>
    <t>First</t>
  </si>
  <si>
    <t>Second</t>
  </si>
  <si>
    <t>District</t>
  </si>
  <si>
    <t>Days/Wk.</t>
  </si>
  <si>
    <t>Reimb.</t>
  </si>
  <si>
    <t xml:space="preserve"> Cost</t>
  </si>
  <si>
    <t>Sem. Cost</t>
  </si>
  <si>
    <t>Olympia*</t>
  </si>
  <si>
    <t>Clinton*</t>
  </si>
  <si>
    <t>LeRoy</t>
  </si>
  <si>
    <t>Lexington</t>
  </si>
  <si>
    <t>Ridgeview</t>
  </si>
  <si>
    <t>NHM</t>
  </si>
  <si>
    <t>Total reimbursement for TAS</t>
  </si>
  <si>
    <t>Please pay the semester cost (in bold print).</t>
  </si>
  <si>
    <t>Miller, Cheryl</t>
  </si>
  <si>
    <t>Harpenau, Laurie</t>
  </si>
  <si>
    <t>Patti Drake</t>
  </si>
  <si>
    <t>Harris, Kristan</t>
  </si>
  <si>
    <t>Quinton, Judy</t>
  </si>
  <si>
    <t>Arnold, Katy</t>
  </si>
  <si>
    <t>Julie Mulliken</t>
  </si>
  <si>
    <t>Bethany Edgecombe</t>
  </si>
  <si>
    <t>GA*2</t>
  </si>
  <si>
    <t>Technical Support</t>
  </si>
  <si>
    <t>Total Admin Asst</t>
  </si>
  <si>
    <t>personnel</t>
  </si>
  <si>
    <t>Payments to Other Districts  4000-300</t>
  </si>
  <si>
    <t>Administrative District fee</t>
  </si>
  <si>
    <t>HILIA - Transition Svcs</t>
  </si>
  <si>
    <t>HILIA - Diagnostics</t>
  </si>
  <si>
    <t>HILIA - Fiscal Agent</t>
  </si>
  <si>
    <t>HILIA - Staff devel, Prog Eval</t>
  </si>
  <si>
    <t>HILIA - Program facilitators</t>
  </si>
  <si>
    <t>ROE - SAVE program</t>
  </si>
  <si>
    <t>Total 4000-300</t>
  </si>
  <si>
    <t>Medicaid payments to districts 4300-600</t>
  </si>
  <si>
    <t>Medicaid Payments total</t>
  </si>
  <si>
    <t>Total 4000-600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</si>
</sst>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"/>
    <numFmt numFmtId="165" formatCode="&quot;$&quot;#,##0.00"/>
    <numFmt numFmtId="166" formatCode="&quot;$&quot;#,##0"/>
    <numFmt numFmtId="167" formatCode="#,##0.0"/>
    <numFmt numFmtId="168" formatCode="&quot;$&quot;#,##0.0"/>
    <numFmt numFmtId="169" formatCode="&quot;$&quot;#,##0.00_);[Red]\(&quot;$&quot;#,##0.00\)"/>
    <numFmt numFmtId="170" formatCode="&quot;$&quot;#,##0_);[Red]\(&quot;$&quot;#,##0\)"/>
  </numFmts>
  <fonts count="47">
    <font>
      <sz val="11.0"/>
      <color theme="1"/>
      <name val="Arial"/>
      <scheme val="minor"/>
    </font>
    <font>
      <sz val="10.0"/>
      <color theme="1"/>
      <name val="Arial"/>
    </font>
    <font>
      <b/>
      <sz val="11.0"/>
      <color theme="1"/>
      <name val="Arial"/>
    </font>
    <font>
      <sz val="7.0"/>
      <color theme="1"/>
      <name val="Open Sans"/>
    </font>
    <font>
      <sz val="6.0"/>
      <color theme="1"/>
      <name val="Open Sans"/>
    </font>
    <font>
      <sz val="9.0"/>
      <color theme="1"/>
      <name val="Times New Roman"/>
    </font>
    <font>
      <color theme="1"/>
      <name val="Arial"/>
    </font>
    <font>
      <b/>
      <sz val="7.0"/>
      <color theme="1"/>
      <name val="Open Sans"/>
    </font>
    <font>
      <b/>
      <u/>
      <sz val="11.0"/>
      <color theme="1"/>
      <name val="Calibri"/>
    </font>
    <font>
      <b/>
      <u/>
      <sz val="11.0"/>
      <color theme="1"/>
      <name val="Calibri"/>
    </font>
    <font>
      <sz val="11.0"/>
      <color theme="1"/>
      <name val="Calibri"/>
    </font>
    <font>
      <sz val="11.0"/>
      <color theme="1"/>
      <name val="Arial"/>
    </font>
    <font>
      <color theme="1"/>
      <name val="Arial"/>
      <scheme val="minor"/>
    </font>
    <font>
      <u/>
      <sz val="11.0"/>
      <color theme="1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b/>
      <sz val="11.0"/>
      <color theme="1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b/>
      <u/>
      <sz val="11.0"/>
      <color theme="1"/>
      <name val="Calibri"/>
    </font>
    <font>
      <b/>
      <sz val="9.0"/>
      <color theme="1"/>
      <name val="Calibri"/>
    </font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sz val="10.0"/>
      <color theme="1"/>
      <name val="Calibri"/>
    </font>
    <font>
      <u/>
      <sz val="11.0"/>
      <color theme="1"/>
      <name val="Calibri"/>
    </font>
    <font>
      <sz val="11.0"/>
      <color rgb="FFF7981D"/>
      <name val="Inconsolata"/>
    </font>
    <font>
      <b/>
      <u/>
      <sz val="11.0"/>
      <color theme="1"/>
      <name val="Calibri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sz val="12.0"/>
      <color theme="1"/>
      <name val="Arial"/>
    </font>
    <font>
      <u/>
      <sz val="12.0"/>
      <color theme="1"/>
      <name val="Arial"/>
    </font>
    <font>
      <u/>
      <sz val="12.0"/>
      <color theme="1"/>
      <name val="Arial"/>
    </font>
    <font>
      <b/>
      <sz val="10.0"/>
      <color theme="1"/>
      <name val="Arial"/>
    </font>
    <font>
      <sz val="9.0"/>
      <color theme="1"/>
      <name val="Arial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sz val="10.0"/>
      <color theme="1"/>
      <name val="Calibri"/>
    </font>
    <font>
      <sz val="7.0"/>
      <color theme="1"/>
      <name val="Arial"/>
    </font>
    <font>
      <i/>
      <sz val="14.0"/>
      <color theme="1"/>
      <name val="Arial"/>
    </font>
    <font>
      <i/>
      <sz val="12.0"/>
      <color theme="1"/>
      <name val="Arial"/>
    </font>
    <font>
      <i/>
      <sz val="10.0"/>
      <color theme="1"/>
      <name val="Arial"/>
    </font>
    <font>
      <i/>
      <sz val="11.0"/>
      <color theme="1"/>
      <name val="Arial"/>
    </font>
    <font>
      <b/>
      <i/>
      <sz val="10.0"/>
      <color theme="1"/>
      <name val="Arial"/>
    </font>
    <font>
      <sz val="8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D6E3BC"/>
        <bgColor rgb="FFD6E3BC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0" fillId="0" fontId="1" numFmtId="0" xfId="0" applyFont="1"/>
    <xf borderId="3" fillId="0" fontId="1" numFmtId="0" xfId="0" applyBorder="1" applyFont="1"/>
    <xf borderId="0" fillId="0" fontId="1" numFmtId="0" xfId="0" applyAlignment="1" applyFont="1">
      <alignment shrinkToFit="0" wrapText="1"/>
    </xf>
    <xf borderId="2" fillId="0" fontId="1" numFmtId="14" xfId="0" applyBorder="1" applyFont="1" applyNumberFormat="1"/>
    <xf borderId="4" fillId="0" fontId="3" numFmtId="0" xfId="0" applyAlignment="1" applyBorder="1" applyFont="1">
      <alignment shrinkToFit="0" textRotation="90" wrapText="1"/>
    </xf>
    <xf borderId="2" fillId="0" fontId="3" numFmtId="0" xfId="0" applyAlignment="1" applyBorder="1" applyFont="1">
      <alignment horizontal="center" shrinkToFit="0" wrapText="1"/>
    </xf>
    <xf borderId="4" fillId="0" fontId="3" numFmtId="0" xfId="0" applyBorder="1" applyFont="1"/>
    <xf borderId="2" fillId="0" fontId="3" numFmtId="0" xfId="0" applyBorder="1" applyFont="1"/>
    <xf borderId="2" fillId="0" fontId="4" numFmtId="0" xfId="0" applyBorder="1" applyFont="1"/>
    <xf borderId="2" fillId="0" fontId="5" numFmtId="3" xfId="0" applyBorder="1" applyFont="1" applyNumberFormat="1"/>
    <xf borderId="2" fillId="2" fontId="5" numFmtId="3" xfId="0" applyBorder="1" applyFill="1" applyFont="1" applyNumberFormat="1"/>
    <xf borderId="0" fillId="0" fontId="6" numFmtId="0" xfId="0" applyFont="1"/>
    <xf borderId="4" fillId="0" fontId="7" numFmtId="0" xfId="0" applyBorder="1" applyFont="1"/>
    <xf borderId="3" fillId="0" fontId="5" numFmtId="3" xfId="0" applyBorder="1" applyFont="1" applyNumberFormat="1"/>
    <xf borderId="5" fillId="0" fontId="5" numFmtId="3" xfId="0" applyBorder="1" applyFont="1" applyNumberFormat="1"/>
    <xf borderId="6" fillId="2" fontId="5" numFmtId="3" xfId="0" applyBorder="1" applyFont="1" applyNumberFormat="1"/>
    <xf borderId="4" fillId="0" fontId="5" numFmtId="3" xfId="0" applyBorder="1" applyFont="1" applyNumberFormat="1"/>
    <xf borderId="7" fillId="2" fontId="5" numFmtId="3" xfId="0" applyBorder="1" applyFont="1" applyNumberFormat="1"/>
    <xf borderId="0" fillId="0" fontId="8" numFmtId="0" xfId="0" applyFont="1"/>
    <xf borderId="0" fillId="0" fontId="9" numFmtId="0" xfId="0" applyAlignment="1" applyFont="1">
      <alignment horizontal="center" shrinkToFit="0" wrapText="1"/>
    </xf>
    <xf borderId="8" fillId="3" fontId="10" numFmtId="0" xfId="0" applyBorder="1" applyFill="1" applyFont="1"/>
    <xf borderId="0" fillId="0" fontId="10" numFmtId="164" xfId="0" applyFont="1" applyNumberFormat="1"/>
    <xf borderId="8" fillId="4" fontId="10" numFmtId="3" xfId="0" applyBorder="1" applyFill="1" applyFont="1" applyNumberFormat="1"/>
    <xf borderId="0" fillId="0" fontId="10" numFmtId="3" xfId="0" applyFont="1" applyNumberFormat="1"/>
    <xf borderId="0" fillId="0" fontId="6" numFmtId="0" xfId="0" applyAlignment="1" applyFont="1">
      <alignment readingOrder="0"/>
    </xf>
    <xf borderId="8" fillId="5" fontId="10" numFmtId="3" xfId="0" applyBorder="1" applyFill="1" applyFont="1" applyNumberFormat="1"/>
    <xf borderId="0" fillId="0" fontId="6" numFmtId="2" xfId="0" applyFont="1" applyNumberFormat="1"/>
    <xf borderId="8" fillId="3" fontId="10" numFmtId="3" xfId="0" applyBorder="1" applyFont="1" applyNumberFormat="1"/>
    <xf borderId="0" fillId="0" fontId="11" numFmtId="0" xfId="0" applyFont="1"/>
    <xf borderId="0" fillId="0" fontId="6" numFmtId="3" xfId="0" applyFont="1" applyNumberFormat="1"/>
    <xf borderId="8" fillId="3" fontId="10" numFmtId="3" xfId="0" applyAlignment="1" applyBorder="1" applyFont="1" applyNumberFormat="1">
      <alignment readingOrder="0"/>
    </xf>
    <xf borderId="0" fillId="0" fontId="12" numFmtId="0" xfId="0" applyAlignment="1" applyFont="1">
      <alignment readingOrder="0"/>
    </xf>
    <xf borderId="0" fillId="0" fontId="13" numFmtId="164" xfId="0" applyFont="1" applyNumberFormat="1"/>
    <xf borderId="8" fillId="4" fontId="14" numFmtId="3" xfId="0" applyBorder="1" applyFont="1" applyNumberFormat="1"/>
    <xf borderId="0" fillId="0" fontId="15" numFmtId="3" xfId="0" applyFont="1" applyNumberFormat="1"/>
    <xf borderId="0" fillId="0" fontId="16" numFmtId="3" xfId="0" applyFont="1" applyNumberFormat="1"/>
    <xf borderId="0" fillId="0" fontId="10" numFmtId="3" xfId="0" applyAlignment="1" applyFont="1" applyNumberFormat="1">
      <alignment readingOrder="0"/>
    </xf>
    <xf borderId="0" fillId="0" fontId="10" numFmtId="0" xfId="0" applyFont="1"/>
    <xf borderId="0" fillId="0" fontId="16" numFmtId="0" xfId="0" applyFont="1"/>
    <xf borderId="0" fillId="0" fontId="10" numFmtId="165" xfId="0" applyFont="1" applyNumberFormat="1"/>
    <xf borderId="0" fillId="0" fontId="10" numFmtId="166" xfId="0" applyFont="1" applyNumberFormat="1"/>
    <xf borderId="0" fillId="0" fontId="16" numFmtId="166" xfId="0" applyFont="1" applyNumberFormat="1"/>
    <xf borderId="0" fillId="0" fontId="17" numFmtId="166" xfId="0" applyFont="1" applyNumberFormat="1"/>
    <xf borderId="0" fillId="0" fontId="18" numFmtId="0" xfId="0" applyFont="1"/>
    <xf borderId="0" fillId="0" fontId="19" numFmtId="166" xfId="0" applyFont="1" applyNumberFormat="1"/>
    <xf borderId="0" fillId="0" fontId="20" numFmtId="166" xfId="0" applyFont="1" applyNumberFormat="1"/>
    <xf borderId="0" fillId="0" fontId="6" numFmtId="166" xfId="0" applyFont="1" applyNumberFormat="1"/>
    <xf borderId="0" fillId="0" fontId="10" numFmtId="0" xfId="0" applyAlignment="1" applyFont="1">
      <alignment horizontal="center" shrinkToFit="0" wrapText="1"/>
    </xf>
    <xf borderId="8" fillId="3" fontId="21" numFmtId="0" xfId="0" applyBorder="1" applyFont="1"/>
    <xf borderId="0" fillId="4" fontId="10" numFmtId="3" xfId="0" applyAlignment="1" applyFont="1" applyNumberFormat="1">
      <alignment readingOrder="0"/>
    </xf>
    <xf borderId="0" fillId="0" fontId="11" numFmtId="3" xfId="0" applyFont="1" applyNumberFormat="1"/>
    <xf borderId="0" fillId="0" fontId="12" numFmtId="0" xfId="0" applyFont="1"/>
    <xf borderId="0" fillId="3" fontId="21" numFmtId="0" xfId="0" applyAlignment="1" applyFont="1">
      <alignment readingOrder="0"/>
    </xf>
    <xf borderId="0" fillId="0" fontId="10" numFmtId="164" xfId="0" applyAlignment="1" applyFont="1" applyNumberFormat="1">
      <alignment readingOrder="0"/>
    </xf>
    <xf borderId="0" fillId="3" fontId="10" numFmtId="3" xfId="0" applyFont="1" applyNumberFormat="1"/>
    <xf borderId="0" fillId="4" fontId="10" numFmtId="3" xfId="0" applyFont="1" applyNumberFormat="1"/>
    <xf borderId="0" fillId="6" fontId="10" numFmtId="3" xfId="0" applyAlignment="1" applyFill="1" applyFont="1" applyNumberFormat="1">
      <alignment readingOrder="0"/>
    </xf>
    <xf borderId="0" fillId="3" fontId="21" numFmtId="0" xfId="0" applyFont="1"/>
    <xf borderId="0" fillId="0" fontId="22" numFmtId="0" xfId="0" applyFont="1"/>
    <xf borderId="0" fillId="0" fontId="23" numFmtId="164" xfId="0" applyFont="1" applyNumberFormat="1"/>
    <xf borderId="0" fillId="0" fontId="24" numFmtId="3" xfId="0" applyFont="1" applyNumberFormat="1"/>
    <xf borderId="0" fillId="0" fontId="21" numFmtId="0" xfId="0" applyFont="1"/>
    <xf borderId="0" fillId="0" fontId="25" numFmtId="2" xfId="0" applyFont="1" applyNumberFormat="1"/>
    <xf borderId="8" fillId="3" fontId="21" numFmtId="0" xfId="0" applyAlignment="1" applyBorder="1" applyFont="1">
      <alignment readingOrder="0"/>
    </xf>
    <xf borderId="0" fillId="0" fontId="26" numFmtId="3" xfId="0" applyAlignment="1" applyFont="1" applyNumberFormat="1">
      <alignment readingOrder="0"/>
    </xf>
    <xf borderId="0" fillId="0" fontId="6" numFmtId="3" xfId="0" applyAlignment="1" applyFont="1" applyNumberFormat="1">
      <alignment readingOrder="0"/>
    </xf>
    <xf borderId="0" fillId="7" fontId="10" numFmtId="3" xfId="0" applyFill="1" applyFont="1" applyNumberFormat="1"/>
    <xf borderId="8" fillId="8" fontId="27" numFmtId="0" xfId="0" applyBorder="1" applyFill="1" applyFont="1"/>
    <xf borderId="0" fillId="0" fontId="28" numFmtId="0" xfId="0" applyAlignment="1" applyFont="1">
      <alignment shrinkToFit="0" wrapText="1"/>
    </xf>
    <xf borderId="8" fillId="7" fontId="10" numFmtId="0" xfId="0" applyBorder="1" applyFont="1"/>
    <xf borderId="0" fillId="3" fontId="10" numFmtId="3" xfId="0" applyAlignment="1" applyFont="1" applyNumberFormat="1">
      <alignment readingOrder="0"/>
    </xf>
    <xf borderId="0" fillId="0" fontId="1" numFmtId="165" xfId="0" applyFont="1" applyNumberFormat="1"/>
    <xf borderId="0" fillId="0" fontId="29" numFmtId="0" xfId="0" applyAlignment="1" applyFont="1">
      <alignment horizontal="center"/>
    </xf>
    <xf borderId="0" fillId="0" fontId="30" numFmtId="165" xfId="0" applyFont="1" applyNumberFormat="1"/>
    <xf borderId="0" fillId="0" fontId="30" numFmtId="0" xfId="0" applyFont="1"/>
    <xf borderId="0" fillId="0" fontId="31" numFmtId="165" xfId="0" applyAlignment="1" applyFont="1" applyNumberFormat="1">
      <alignment horizontal="center"/>
    </xf>
    <xf borderId="0" fillId="0" fontId="30" numFmtId="0" xfId="0" applyAlignment="1" applyFont="1">
      <alignment horizontal="center"/>
    </xf>
    <xf borderId="0" fillId="0" fontId="31" numFmtId="0" xfId="0" applyAlignment="1" applyFont="1">
      <alignment horizontal="center"/>
    </xf>
    <xf borderId="0" fillId="0" fontId="31" numFmtId="165" xfId="0" applyAlignment="1" applyFont="1" applyNumberFormat="1">
      <alignment horizontal="center" readingOrder="0"/>
    </xf>
    <xf borderId="0" fillId="0" fontId="29" numFmtId="165" xfId="0" applyAlignment="1" applyFont="1" applyNumberFormat="1">
      <alignment horizontal="center"/>
    </xf>
    <xf borderId="0" fillId="0" fontId="32" numFmtId="0" xfId="0" applyFont="1"/>
    <xf borderId="0" fillId="0" fontId="32" numFmtId="3" xfId="0" applyFont="1" applyNumberFormat="1"/>
    <xf borderId="0" fillId="0" fontId="32" numFmtId="165" xfId="0" applyFont="1" applyNumberFormat="1"/>
    <xf borderId="0" fillId="0" fontId="32" numFmtId="1" xfId="0" applyFont="1" applyNumberFormat="1"/>
    <xf borderId="0" fillId="0" fontId="29" numFmtId="165" xfId="0" applyFont="1" applyNumberFormat="1"/>
    <xf borderId="0" fillId="0" fontId="31" numFmtId="0" xfId="0" applyFont="1"/>
    <xf borderId="0" fillId="0" fontId="29" numFmtId="0" xfId="0" applyAlignment="1" applyFont="1">
      <alignment horizontal="center" readingOrder="0"/>
    </xf>
    <xf borderId="3" fillId="7" fontId="29" numFmtId="165" xfId="0" applyBorder="1" applyFont="1" applyNumberFormat="1"/>
    <xf borderId="3" fillId="0" fontId="32" numFmtId="167" xfId="0" applyAlignment="1" applyBorder="1" applyFont="1" applyNumberFormat="1">
      <alignment readingOrder="0"/>
    </xf>
    <xf borderId="3" fillId="0" fontId="32" numFmtId="166" xfId="0" applyBorder="1" applyFont="1" applyNumberFormat="1"/>
    <xf borderId="3" fillId="0" fontId="32" numFmtId="2" xfId="0" applyBorder="1" applyFont="1" applyNumberFormat="1"/>
    <xf borderId="3" fillId="0" fontId="32" numFmtId="0" xfId="0" applyBorder="1" applyFont="1"/>
    <xf borderId="3" fillId="0" fontId="32" numFmtId="1" xfId="0" applyBorder="1" applyFont="1" applyNumberFormat="1"/>
    <xf borderId="3" fillId="0" fontId="29" numFmtId="3" xfId="0" applyBorder="1" applyFont="1" applyNumberFormat="1"/>
    <xf borderId="5" fillId="7" fontId="29" numFmtId="165" xfId="0" applyBorder="1" applyFont="1" applyNumberFormat="1"/>
    <xf borderId="5" fillId="0" fontId="32" numFmtId="167" xfId="0" applyBorder="1" applyFont="1" applyNumberFormat="1"/>
    <xf borderId="5" fillId="0" fontId="32" numFmtId="2" xfId="0" applyBorder="1" applyFont="1" applyNumberFormat="1"/>
    <xf borderId="5" fillId="0" fontId="32" numFmtId="0" xfId="0" applyBorder="1" applyFont="1"/>
    <xf borderId="5" fillId="0" fontId="32" numFmtId="1" xfId="0" applyBorder="1" applyFont="1" applyNumberFormat="1"/>
    <xf borderId="5" fillId="7" fontId="29" numFmtId="168" xfId="0" applyBorder="1" applyFont="1" applyNumberFormat="1"/>
    <xf borderId="5" fillId="0" fontId="32" numFmtId="167" xfId="0" applyAlignment="1" applyBorder="1" applyFont="1" applyNumberFormat="1">
      <alignment readingOrder="0"/>
    </xf>
    <xf borderId="0" fillId="7" fontId="29" numFmtId="165" xfId="0" applyFont="1" applyNumberFormat="1"/>
    <xf borderId="0" fillId="0" fontId="32" numFmtId="167" xfId="0" applyAlignment="1" applyFont="1" applyNumberFormat="1">
      <alignment readingOrder="0"/>
    </xf>
    <xf borderId="0" fillId="0" fontId="32" numFmtId="2" xfId="0" applyFont="1" applyNumberFormat="1"/>
    <xf borderId="0" fillId="0" fontId="32" numFmtId="167" xfId="0" applyFont="1" applyNumberFormat="1"/>
    <xf borderId="0" fillId="0" fontId="33" numFmtId="167" xfId="0" applyFont="1" applyNumberFormat="1"/>
    <xf borderId="0" fillId="0" fontId="34" numFmtId="2" xfId="0" applyFont="1" applyNumberFormat="1"/>
    <xf borderId="0" fillId="0" fontId="32" numFmtId="166" xfId="0" applyFont="1" applyNumberFormat="1"/>
    <xf borderId="0" fillId="0" fontId="29" numFmtId="166" xfId="0" applyFont="1" applyNumberFormat="1"/>
    <xf borderId="0" fillId="0" fontId="30" numFmtId="166" xfId="0" applyFont="1" applyNumberFormat="1"/>
    <xf borderId="0" fillId="0" fontId="30" numFmtId="169" xfId="0" applyFont="1" applyNumberFormat="1"/>
    <xf borderId="0" fillId="0" fontId="30" numFmtId="3" xfId="0" applyFont="1" applyNumberFormat="1"/>
    <xf borderId="0" fillId="0" fontId="35" numFmtId="0" xfId="0" applyFont="1"/>
    <xf borderId="3" fillId="0" fontId="1" numFmtId="166" xfId="0" applyBorder="1" applyFont="1" applyNumberFormat="1"/>
    <xf borderId="3" fillId="0" fontId="1" numFmtId="3" xfId="0" applyBorder="1" applyFont="1" applyNumberFormat="1"/>
    <xf borderId="3" fillId="0" fontId="1" numFmtId="165" xfId="0" applyBorder="1" applyFont="1" applyNumberFormat="1"/>
    <xf borderId="3" fillId="0" fontId="1" numFmtId="1" xfId="0" applyBorder="1" applyFont="1" applyNumberFormat="1"/>
    <xf borderId="3" fillId="0" fontId="36" numFmtId="166" xfId="0" applyBorder="1" applyFont="1" applyNumberFormat="1"/>
    <xf borderId="3" fillId="0" fontId="10" numFmtId="0" xfId="0" applyBorder="1" applyFont="1"/>
    <xf borderId="0" fillId="0" fontId="1" numFmtId="166" xfId="0" applyFont="1" applyNumberFormat="1"/>
    <xf borderId="0" fillId="0" fontId="16" numFmtId="165" xfId="0" applyFont="1" applyNumberFormat="1"/>
    <xf borderId="0" fillId="0" fontId="10" numFmtId="165" xfId="0" applyAlignment="1" applyFont="1" applyNumberFormat="1">
      <alignment readingOrder="0"/>
    </xf>
    <xf borderId="2" fillId="0" fontId="37" numFmtId="0" xfId="0" applyBorder="1" applyFont="1"/>
    <xf borderId="2" fillId="0" fontId="38" numFmtId="0" xfId="0" applyAlignment="1" applyBorder="1" applyFont="1">
      <alignment horizontal="center" shrinkToFit="0" wrapText="1"/>
    </xf>
    <xf borderId="2" fillId="0" fontId="10" numFmtId="0" xfId="0" applyBorder="1" applyFont="1"/>
    <xf borderId="2" fillId="0" fontId="10" numFmtId="164" xfId="0" applyBorder="1" applyFont="1" applyNumberFormat="1"/>
    <xf borderId="2" fillId="0" fontId="10" numFmtId="3" xfId="0" applyBorder="1" applyFont="1" applyNumberFormat="1"/>
    <xf borderId="2" fillId="3" fontId="10" numFmtId="0" xfId="0" applyBorder="1" applyFont="1"/>
    <xf borderId="2" fillId="3" fontId="10" numFmtId="3" xfId="0" applyBorder="1" applyFont="1" applyNumberFormat="1"/>
    <xf borderId="8" fillId="3" fontId="10" numFmtId="0" xfId="0" applyAlignment="1" applyBorder="1" applyFont="1">
      <alignment readingOrder="0"/>
    </xf>
    <xf borderId="0" fillId="3" fontId="10" numFmtId="165" xfId="0" applyFont="1" applyNumberFormat="1"/>
    <xf borderId="0" fillId="0" fontId="39" numFmtId="166" xfId="0" applyFont="1" applyNumberFormat="1"/>
    <xf borderId="0" fillId="0" fontId="10" numFmtId="0" xfId="0" applyAlignment="1" applyFont="1">
      <alignment readingOrder="0"/>
    </xf>
    <xf borderId="0" fillId="0" fontId="31" numFmtId="0" xfId="0" applyAlignment="1" applyFont="1">
      <alignment horizontal="center" readingOrder="0"/>
    </xf>
    <xf borderId="0" fillId="0" fontId="31" numFmtId="0" xfId="0" applyAlignment="1" applyFont="1">
      <alignment shrinkToFit="0" wrapText="1"/>
    </xf>
    <xf borderId="0" fillId="0" fontId="35" numFmtId="2" xfId="0" applyAlignment="1" applyFont="1" applyNumberFormat="1">
      <alignment readingOrder="0"/>
    </xf>
    <xf borderId="0" fillId="0" fontId="2" numFmtId="170" xfId="0" applyFont="1" applyNumberFormat="1"/>
    <xf borderId="0" fillId="0" fontId="31" numFmtId="170" xfId="0" applyFont="1" applyNumberFormat="1"/>
    <xf borderId="0" fillId="0" fontId="31" numFmtId="166" xfId="0" applyAlignment="1" applyFont="1" applyNumberFormat="1">
      <alignment readingOrder="0"/>
    </xf>
    <xf borderId="0" fillId="0" fontId="32" numFmtId="0" xfId="0" applyAlignment="1" applyFont="1">
      <alignment horizontal="right"/>
    </xf>
    <xf borderId="0" fillId="0" fontId="40" numFmtId="165" xfId="0" applyFont="1" applyNumberFormat="1"/>
    <xf borderId="3" fillId="0" fontId="31" numFmtId="0" xfId="0" applyBorder="1" applyFont="1"/>
    <xf borderId="3" fillId="0" fontId="30" numFmtId="0" xfId="0" applyBorder="1" applyFont="1"/>
    <xf borderId="3" fillId="0" fontId="31" numFmtId="166" xfId="0" applyBorder="1" applyFont="1" applyNumberFormat="1"/>
    <xf borderId="0" fillId="0" fontId="31" numFmtId="166" xfId="0" applyAlignment="1" applyFont="1" applyNumberFormat="1">
      <alignment horizontal="center"/>
    </xf>
    <xf borderId="3" fillId="0" fontId="31" numFmtId="0" xfId="0" applyAlignment="1" applyBorder="1" applyFont="1">
      <alignment horizontal="center"/>
    </xf>
    <xf borderId="3" fillId="0" fontId="31" numFmtId="0" xfId="0" applyAlignment="1" applyBorder="1" applyFont="1">
      <alignment horizontal="center" readingOrder="0"/>
    </xf>
    <xf borderId="0" fillId="7" fontId="41" numFmtId="0" xfId="0" applyFont="1"/>
    <xf borderId="0" fillId="7" fontId="41" numFmtId="164" xfId="0" applyAlignment="1" applyFont="1" applyNumberFormat="1">
      <alignment horizontal="center"/>
    </xf>
    <xf borderId="0" fillId="7" fontId="41" numFmtId="0" xfId="0" applyAlignment="1" applyFont="1">
      <alignment horizontal="center"/>
    </xf>
    <xf borderId="0" fillId="7" fontId="42" numFmtId="166" xfId="0" applyFont="1" applyNumberFormat="1"/>
    <xf borderId="0" fillId="7" fontId="41" numFmtId="165" xfId="0" applyAlignment="1" applyFont="1" applyNumberFormat="1">
      <alignment horizontal="right"/>
    </xf>
    <xf borderId="0" fillId="7" fontId="43" numFmtId="165" xfId="0" applyAlignment="1" applyFont="1" applyNumberFormat="1">
      <alignment horizontal="right"/>
    </xf>
    <xf borderId="0" fillId="7" fontId="44" numFmtId="0" xfId="0" applyFont="1"/>
    <xf borderId="0" fillId="7" fontId="45" numFmtId="165" xfId="0" applyFont="1" applyNumberFormat="1"/>
    <xf borderId="0" fillId="7" fontId="43" numFmtId="165" xfId="0" applyFont="1" applyNumberFormat="1"/>
    <xf borderId="8" fillId="7" fontId="30" numFmtId="0" xfId="0" applyBorder="1" applyFont="1"/>
    <xf borderId="8" fillId="7" fontId="31" numFmtId="0" xfId="0" applyBorder="1" applyFont="1"/>
    <xf borderId="8" fillId="7" fontId="30" numFmtId="164" xfId="0" applyAlignment="1" applyBorder="1" applyFont="1" applyNumberFormat="1">
      <alignment horizontal="center" readingOrder="0"/>
    </xf>
    <xf borderId="8" fillId="7" fontId="30" numFmtId="164" xfId="0" applyAlignment="1" applyBorder="1" applyFont="1" applyNumberFormat="1">
      <alignment horizontal="center"/>
    </xf>
    <xf borderId="8" fillId="7" fontId="32" numFmtId="166" xfId="0" applyAlignment="1" applyBorder="1" applyFont="1" applyNumberFormat="1">
      <alignment readingOrder="0"/>
    </xf>
    <xf borderId="8" fillId="7" fontId="31" numFmtId="0" xfId="0" applyAlignment="1" applyBorder="1" applyFont="1">
      <alignment horizontal="center"/>
    </xf>
    <xf borderId="8" fillId="7" fontId="30" numFmtId="165" xfId="0" applyAlignment="1" applyBorder="1" applyFont="1" applyNumberFormat="1">
      <alignment horizontal="right"/>
    </xf>
    <xf borderId="0" fillId="7" fontId="43" numFmtId="165" xfId="0" applyAlignment="1" applyFont="1" applyNumberFormat="1">
      <alignment horizontal="right" readingOrder="0"/>
    </xf>
    <xf borderId="8" fillId="7" fontId="11" numFmtId="0" xfId="0" applyBorder="1" applyFont="1"/>
    <xf borderId="8" fillId="7" fontId="35" numFmtId="165" xfId="0" applyBorder="1" applyFont="1" applyNumberFormat="1"/>
    <xf borderId="8" fillId="7" fontId="1" numFmtId="165" xfId="0" applyBorder="1" applyFont="1" applyNumberFormat="1"/>
    <xf borderId="8" fillId="7" fontId="30" numFmtId="0" xfId="0" applyAlignment="1" applyBorder="1" applyFont="1">
      <alignment horizontal="center"/>
    </xf>
    <xf borderId="8" fillId="7" fontId="30" numFmtId="166" xfId="0" applyBorder="1" applyFont="1" applyNumberFormat="1"/>
    <xf borderId="0" fillId="0" fontId="1" numFmtId="165" xfId="0" applyAlignment="1" applyFont="1" applyNumberFormat="1">
      <alignment horizontal="right"/>
    </xf>
    <xf borderId="0" fillId="0" fontId="30" numFmtId="164" xfId="0" applyAlignment="1" applyFont="1" applyNumberFormat="1">
      <alignment horizontal="center"/>
    </xf>
    <xf borderId="0" fillId="0" fontId="30" numFmtId="165" xfId="0" applyAlignment="1" applyFont="1" applyNumberFormat="1">
      <alignment horizontal="right"/>
    </xf>
    <xf borderId="0" fillId="0" fontId="35" numFmtId="165" xfId="0" applyFont="1" applyNumberFormat="1"/>
    <xf borderId="0" fillId="0" fontId="1" numFmtId="165" xfId="0" applyAlignment="1" applyFont="1" applyNumberFormat="1">
      <alignment horizontal="right" readingOrder="0"/>
    </xf>
    <xf borderId="0" fillId="0" fontId="30" numFmtId="2" xfId="0" applyAlignment="1" applyFont="1" applyNumberFormat="1">
      <alignment horizontal="center"/>
    </xf>
    <xf borderId="3" fillId="0" fontId="30" numFmtId="0" xfId="0" applyAlignment="1" applyBorder="1" applyFont="1">
      <alignment readingOrder="0"/>
    </xf>
    <xf borderId="3" fillId="0" fontId="30" numFmtId="164" xfId="0" applyAlignment="1" applyBorder="1" applyFont="1" applyNumberFormat="1">
      <alignment horizontal="center" readingOrder="0"/>
    </xf>
    <xf borderId="3" fillId="0" fontId="30" numFmtId="164" xfId="0" applyAlignment="1" applyBorder="1" applyFont="1" applyNumberFormat="1">
      <alignment horizontal="center"/>
    </xf>
    <xf borderId="3" fillId="0" fontId="30" numFmtId="0" xfId="0" applyAlignment="1" applyBorder="1" applyFont="1">
      <alignment horizontal="center" readingOrder="0"/>
    </xf>
    <xf borderId="0" fillId="0" fontId="30" numFmtId="166" xfId="0" applyAlignment="1" applyFont="1" applyNumberFormat="1">
      <alignment readingOrder="0"/>
    </xf>
    <xf borderId="3" fillId="0" fontId="30" numFmtId="165" xfId="0" applyAlignment="1" applyBorder="1" applyFont="1" applyNumberFormat="1">
      <alignment horizontal="right"/>
    </xf>
    <xf borderId="0" fillId="0" fontId="31" numFmtId="164" xfId="0" applyFont="1" applyNumberFormat="1"/>
    <xf borderId="0" fillId="0" fontId="31" numFmtId="166" xfId="0" applyFont="1" applyNumberFormat="1"/>
    <xf borderId="0" fillId="0" fontId="2" numFmtId="165" xfId="0" applyFont="1" applyNumberFormat="1"/>
    <xf borderId="0" fillId="0" fontId="2" numFmtId="0" xfId="0" applyFont="1"/>
    <xf borderId="0" fillId="0" fontId="11" numFmtId="165" xfId="0" applyFont="1" applyNumberFormat="1"/>
    <xf borderId="0" fillId="0" fontId="46" numFmtId="165" xfId="0" applyFont="1" applyNumberFormat="1"/>
    <xf borderId="0" fillId="0" fontId="31" numFmtId="0" xfId="0" applyAlignment="1" applyFont="1">
      <alignment horizontal="left" shrinkToFit="0" wrapText="1"/>
    </xf>
    <xf borderId="0" fillId="4" fontId="10" numFmtId="3" xfId="0" applyAlignment="1" applyFont="1" applyNumberFormat="1">
      <alignment horizontal="right" vertical="bottom"/>
    </xf>
    <xf borderId="0" fillId="4" fontId="10" numFmtId="3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3" width="7.63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3"/>
      <c r="B3" s="4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1" t="s">
        <v>4</v>
      </c>
    </row>
    <row r="4" ht="14.25" customHeight="1">
      <c r="A4" s="4"/>
      <c r="B4" s="4"/>
      <c r="C4" s="4" t="s">
        <v>5</v>
      </c>
      <c r="D4" s="4"/>
      <c r="E4" s="4"/>
      <c r="F4" s="5"/>
      <c r="G4" s="4"/>
      <c r="H4" s="4"/>
      <c r="I4" s="4"/>
      <c r="J4" s="4"/>
      <c r="K4" s="4"/>
      <c r="L4" s="4"/>
      <c r="M4" s="4"/>
    </row>
    <row r="5" ht="27.7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6" t="s">
        <v>6</v>
      </c>
      <c r="L5" s="7">
        <v>45108.0</v>
      </c>
      <c r="M5" s="6" t="s">
        <v>7</v>
      </c>
    </row>
    <row r="6" ht="18.0" customHeight="1">
      <c r="A6" s="8" t="s">
        <v>8</v>
      </c>
      <c r="B6" s="9" t="s">
        <v>9</v>
      </c>
      <c r="C6" s="9" t="s">
        <v>10</v>
      </c>
      <c r="D6" s="9"/>
      <c r="E6" s="9"/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</row>
    <row r="7" ht="14.25" customHeight="1">
      <c r="A7" s="10">
        <v>1.0</v>
      </c>
      <c r="B7" s="11">
        <v>1400.0</v>
      </c>
      <c r="C7" s="12" t="s">
        <v>19</v>
      </c>
      <c r="D7" s="13"/>
      <c r="E7" s="13"/>
      <c r="F7" s="13">
        <v>0.0</v>
      </c>
      <c r="G7" s="13">
        <v>0.0</v>
      </c>
      <c r="H7" s="13">
        <v>0.0</v>
      </c>
      <c r="I7" s="13">
        <v>0.0</v>
      </c>
      <c r="J7" s="13"/>
      <c r="K7" s="13"/>
      <c r="L7" s="14"/>
      <c r="M7" s="13">
        <v>0.0</v>
      </c>
    </row>
    <row r="8" ht="14.25" customHeight="1">
      <c r="A8" s="10">
        <v>2.0</v>
      </c>
      <c r="B8" s="11">
        <v>2110.0</v>
      </c>
      <c r="C8" s="12" t="s">
        <v>20</v>
      </c>
      <c r="D8" s="13"/>
      <c r="E8" s="13"/>
      <c r="F8" s="13">
        <f>SSW!G26</f>
        <v>891105.69</v>
      </c>
      <c r="G8" s="13">
        <f>SSW!G27</f>
        <v>214613.947</v>
      </c>
      <c r="H8" s="13">
        <f>SSW!G28</f>
        <v>82635.18699</v>
      </c>
      <c r="I8" s="13">
        <f>SSW!G29</f>
        <v>12000</v>
      </c>
      <c r="J8" s="13">
        <f>SSW!G30</f>
        <v>5800</v>
      </c>
      <c r="K8" s="13">
        <v>0.0</v>
      </c>
      <c r="L8" s="14"/>
      <c r="M8" s="13">
        <f t="shared" ref="M8:M30" si="1">SUM(F8:L8)</f>
        <v>1206154.824</v>
      </c>
      <c r="O8" s="15">
        <v>1128070.0</v>
      </c>
    </row>
    <row r="9" ht="14.25" customHeight="1">
      <c r="A9" s="10">
        <v>3.0</v>
      </c>
      <c r="B9" s="11">
        <v>2120.0</v>
      </c>
      <c r="C9" s="12" t="s">
        <v>21</v>
      </c>
      <c r="D9" s="13"/>
      <c r="E9" s="13"/>
      <c r="F9" s="13">
        <v>0.0</v>
      </c>
      <c r="G9" s="13">
        <v>0.0</v>
      </c>
      <c r="H9" s="13">
        <v>0.0</v>
      </c>
      <c r="I9" s="13">
        <v>0.0</v>
      </c>
      <c r="J9" s="13">
        <v>0.0</v>
      </c>
      <c r="K9" s="13">
        <v>0.0</v>
      </c>
      <c r="L9" s="14"/>
      <c r="M9" s="13">
        <f t="shared" si="1"/>
        <v>0</v>
      </c>
    </row>
    <row r="10" ht="14.25" customHeight="1">
      <c r="A10" s="10">
        <v>4.0</v>
      </c>
      <c r="B10" s="11">
        <v>2130.0</v>
      </c>
      <c r="C10" s="12" t="s">
        <v>22</v>
      </c>
      <c r="D10" s="13"/>
      <c r="E10" s="13"/>
      <c r="F10" s="13">
        <f>OTPT!G26</f>
        <v>422872.48</v>
      </c>
      <c r="G10" s="13">
        <f>OTPT!G27</f>
        <v>150256.8764</v>
      </c>
      <c r="H10" s="13">
        <f>OTPT!G28</f>
        <v>376202.1711</v>
      </c>
      <c r="I10" s="13">
        <f>OTPT!G29</f>
        <v>2600</v>
      </c>
      <c r="J10" s="13">
        <f>OTPT!G30</f>
        <v>3600</v>
      </c>
      <c r="K10" s="13">
        <v>0.0</v>
      </c>
      <c r="L10" s="14"/>
      <c r="M10" s="13">
        <f t="shared" si="1"/>
        <v>955531.5275</v>
      </c>
      <c r="O10" s="15">
        <v>859777.0</v>
      </c>
    </row>
    <row r="11" ht="14.25" customHeight="1">
      <c r="A11" s="10">
        <v>5.0</v>
      </c>
      <c r="B11" s="11">
        <v>2140.0</v>
      </c>
      <c r="C11" s="12" t="s">
        <v>23</v>
      </c>
      <c r="D11" s="13"/>
      <c r="E11" s="13"/>
      <c r="F11" s="13">
        <f>psych!G26</f>
        <v>925314.7875</v>
      </c>
      <c r="G11" s="13">
        <f>psych!G27</f>
        <v>205899.3405</v>
      </c>
      <c r="H11" s="13">
        <f>psych!G28</f>
        <v>112804.7461</v>
      </c>
      <c r="I11" s="13">
        <f>psych!G29</f>
        <v>15000</v>
      </c>
      <c r="J11" s="13">
        <f>psych!G30</f>
        <v>6600</v>
      </c>
      <c r="K11" s="13">
        <v>0.0</v>
      </c>
      <c r="L11" s="14"/>
      <c r="M11" s="13">
        <f t="shared" si="1"/>
        <v>1265618.874</v>
      </c>
      <c r="O11" s="15">
        <v>1209094.0</v>
      </c>
    </row>
    <row r="12" ht="14.25" customHeight="1">
      <c r="A12" s="10">
        <v>6.0</v>
      </c>
      <c r="B12" s="11">
        <v>2150.0</v>
      </c>
      <c r="C12" s="12" t="s">
        <v>24</v>
      </c>
      <c r="D12" s="13"/>
      <c r="E12" s="13"/>
      <c r="F12" s="13">
        <f>slp!G26</f>
        <v>384122.0475</v>
      </c>
      <c r="G12" s="13">
        <f>slp!G27</f>
        <v>92116.01807</v>
      </c>
      <c r="H12" s="13">
        <f>slp!G28</f>
        <v>27331.99331</v>
      </c>
      <c r="I12" s="13">
        <f>slp!G29</f>
        <v>10000</v>
      </c>
      <c r="J12" s="13">
        <f>slp!G30</f>
        <v>2400</v>
      </c>
      <c r="K12" s="13">
        <v>0.0</v>
      </c>
      <c r="L12" s="14"/>
      <c r="M12" s="13">
        <f t="shared" si="1"/>
        <v>515970.0589</v>
      </c>
      <c r="O12" s="15">
        <v>494570.0</v>
      </c>
    </row>
    <row r="13" ht="14.25" customHeight="1">
      <c r="A13" s="10">
        <v>7.0</v>
      </c>
      <c r="B13" s="11">
        <v>2210.0</v>
      </c>
      <c r="C13" s="12" t="s">
        <v>25</v>
      </c>
      <c r="D13" s="13"/>
      <c r="E13" s="13"/>
      <c r="F13" s="13">
        <v>0.0</v>
      </c>
      <c r="G13" s="13">
        <v>0.0</v>
      </c>
      <c r="H13" s="13">
        <f>'prof dev'!B32</f>
        <v>63500</v>
      </c>
      <c r="I13" s="13">
        <f>'prof dev'!B33</f>
        <v>14738</v>
      </c>
      <c r="J13" s="13">
        <f>'prof dev'!B34</f>
        <v>3000</v>
      </c>
      <c r="K13" s="13">
        <v>0.0</v>
      </c>
      <c r="L13" s="14"/>
      <c r="M13" s="13">
        <f t="shared" si="1"/>
        <v>81238</v>
      </c>
      <c r="O13" s="15">
        <v>71238.0</v>
      </c>
    </row>
    <row r="14" ht="14.25" customHeight="1">
      <c r="A14" s="10">
        <v>8.0</v>
      </c>
      <c r="B14" s="11">
        <v>2220.0</v>
      </c>
      <c r="C14" s="12" t="s">
        <v>26</v>
      </c>
      <c r="D14" s="13"/>
      <c r="E14" s="13"/>
      <c r="F14" s="13">
        <v>0.0</v>
      </c>
      <c r="G14" s="13">
        <v>0.0</v>
      </c>
      <c r="H14" s="13">
        <v>0.0</v>
      </c>
      <c r="I14" s="13">
        <v>0.0</v>
      </c>
      <c r="J14" s="13">
        <v>0.0</v>
      </c>
      <c r="K14" s="13">
        <v>0.0</v>
      </c>
      <c r="L14" s="14"/>
      <c r="M14" s="13">
        <f t="shared" si="1"/>
        <v>0</v>
      </c>
    </row>
    <row r="15" ht="14.25" customHeight="1">
      <c r="A15" s="10">
        <v>9.0</v>
      </c>
      <c r="B15" s="11">
        <v>2290.0</v>
      </c>
      <c r="C15" s="12" t="s">
        <v>27</v>
      </c>
      <c r="D15" s="13"/>
      <c r="E15" s="13"/>
      <c r="F15" s="13">
        <v>0.0</v>
      </c>
      <c r="G15" s="13">
        <v>0.0</v>
      </c>
      <c r="H15" s="13">
        <v>0.0</v>
      </c>
      <c r="I15" s="13">
        <v>0.0</v>
      </c>
      <c r="J15" s="13">
        <v>0.0</v>
      </c>
      <c r="K15" s="13">
        <v>0.0</v>
      </c>
      <c r="L15" s="14"/>
      <c r="M15" s="13">
        <f t="shared" si="1"/>
        <v>0</v>
      </c>
    </row>
    <row r="16" ht="14.25" customHeight="1">
      <c r="A16" s="10">
        <v>10.0</v>
      </c>
      <c r="B16" s="11">
        <v>2300.0</v>
      </c>
      <c r="C16" s="12" t="s">
        <v>28</v>
      </c>
      <c r="D16" s="13"/>
      <c r="E16" s="13"/>
      <c r="F16" s="13">
        <f>exec!G27</f>
        <v>174772.5</v>
      </c>
      <c r="G16" s="13">
        <f>exec!G28</f>
        <v>23118.49275</v>
      </c>
      <c r="H16" s="13">
        <f>exec!G29</f>
        <v>59578.02125</v>
      </c>
      <c r="I16" s="13">
        <f>exec!G30</f>
        <v>9250</v>
      </c>
      <c r="J16" s="13">
        <f>exec!G31</f>
        <v>7000</v>
      </c>
      <c r="K16" s="13">
        <v>0.0</v>
      </c>
      <c r="L16" s="14"/>
      <c r="M16" s="13">
        <f t="shared" si="1"/>
        <v>273719.014</v>
      </c>
      <c r="O16" s="15">
        <v>264245.0</v>
      </c>
    </row>
    <row r="17" ht="14.25" customHeight="1">
      <c r="A17" s="10">
        <v>12.0</v>
      </c>
      <c r="B17" s="11">
        <v>2510.0</v>
      </c>
      <c r="C17" s="12" t="s">
        <v>29</v>
      </c>
      <c r="D17" s="13"/>
      <c r="E17" s="13"/>
      <c r="F17" s="13">
        <v>0.0</v>
      </c>
      <c r="G17" s="13">
        <v>0.0</v>
      </c>
      <c r="H17" s="13">
        <v>0.0</v>
      </c>
      <c r="I17" s="13">
        <v>0.0</v>
      </c>
      <c r="J17" s="13">
        <v>0.0</v>
      </c>
      <c r="K17" s="13">
        <v>0.0</v>
      </c>
      <c r="L17" s="14"/>
      <c r="M17" s="13">
        <f t="shared" si="1"/>
        <v>0</v>
      </c>
    </row>
    <row r="18" ht="14.25" customHeight="1">
      <c r="A18" s="10">
        <v>13.0</v>
      </c>
      <c r="B18" s="11">
        <v>2520.0</v>
      </c>
      <c r="C18" s="12" t="s">
        <v>30</v>
      </c>
      <c r="D18" s="13"/>
      <c r="E18" s="13"/>
      <c r="F18" s="13">
        <v>0.0</v>
      </c>
      <c r="G18" s="13">
        <v>0.0</v>
      </c>
      <c r="H18" s="13">
        <v>0.0</v>
      </c>
      <c r="I18" s="13">
        <v>0.0</v>
      </c>
      <c r="J18" s="13">
        <v>0.0</v>
      </c>
      <c r="K18" s="13">
        <v>0.0</v>
      </c>
      <c r="L18" s="14"/>
      <c r="M18" s="13">
        <f t="shared" si="1"/>
        <v>0</v>
      </c>
    </row>
    <row r="19" ht="14.25" customHeight="1">
      <c r="A19" s="10">
        <v>14.0</v>
      </c>
      <c r="B19" s="11">
        <v>2530.0</v>
      </c>
      <c r="C19" s="12" t="s">
        <v>31</v>
      </c>
      <c r="D19" s="13"/>
      <c r="E19" s="13"/>
      <c r="F19" s="13">
        <v>0.0</v>
      </c>
      <c r="G19" s="13">
        <v>0.0</v>
      </c>
      <c r="H19" s="13">
        <v>0.0</v>
      </c>
      <c r="I19" s="13">
        <v>0.0</v>
      </c>
      <c r="J19" s="13">
        <v>0.0</v>
      </c>
      <c r="K19" s="13">
        <v>0.0</v>
      </c>
      <c r="L19" s="14"/>
      <c r="M19" s="13">
        <f t="shared" si="1"/>
        <v>0</v>
      </c>
    </row>
    <row r="20" ht="14.25" customHeight="1">
      <c r="A20" s="10">
        <v>15.0</v>
      </c>
      <c r="B20" s="11">
        <v>2540.0</v>
      </c>
      <c r="C20" s="12" t="s">
        <v>32</v>
      </c>
      <c r="D20" s="13"/>
      <c r="E20" s="13"/>
      <c r="F20" s="13">
        <f>'O &amp; M'!G17</f>
        <v>1600</v>
      </c>
      <c r="G20" s="13">
        <f>'O &amp; M'!G18</f>
        <v>326.4</v>
      </c>
      <c r="H20" s="13">
        <f>'O &amp; M'!G19</f>
        <v>54850</v>
      </c>
      <c r="I20" s="13">
        <f>'O &amp; M'!G20</f>
        <v>18200</v>
      </c>
      <c r="J20" s="13">
        <f>'O &amp; M'!G21</f>
        <v>50000</v>
      </c>
      <c r="K20" s="13">
        <v>0.0</v>
      </c>
      <c r="L20" s="14"/>
      <c r="M20" s="13">
        <f t="shared" si="1"/>
        <v>124976.4</v>
      </c>
      <c r="O20" s="15">
        <v>136775.0</v>
      </c>
    </row>
    <row r="21" ht="14.25" customHeight="1">
      <c r="A21" s="10">
        <v>18.0</v>
      </c>
      <c r="B21" s="11">
        <v>2570.0</v>
      </c>
      <c r="C21" s="12" t="s">
        <v>33</v>
      </c>
      <c r="D21" s="13"/>
      <c r="E21" s="13"/>
      <c r="F21" s="13">
        <v>0.0</v>
      </c>
      <c r="G21" s="13">
        <v>0.0</v>
      </c>
      <c r="H21" s="13">
        <v>0.0</v>
      </c>
      <c r="I21" s="13">
        <v>0.0</v>
      </c>
      <c r="J21" s="13">
        <v>0.0</v>
      </c>
      <c r="K21" s="13">
        <v>0.0</v>
      </c>
      <c r="L21" s="14"/>
      <c r="M21" s="13">
        <f t="shared" si="1"/>
        <v>0</v>
      </c>
    </row>
    <row r="22" ht="14.25" customHeight="1">
      <c r="A22" s="10">
        <v>19.0</v>
      </c>
      <c r="B22" s="11">
        <v>2610.0</v>
      </c>
      <c r="C22" s="12" t="s">
        <v>34</v>
      </c>
      <c r="D22" s="13"/>
      <c r="E22" s="13"/>
      <c r="F22" s="13">
        <v>0.0</v>
      </c>
      <c r="G22" s="13">
        <v>0.0</v>
      </c>
      <c r="H22" s="13">
        <v>0.0</v>
      </c>
      <c r="I22" s="13">
        <v>0.0</v>
      </c>
      <c r="J22" s="13">
        <v>0.0</v>
      </c>
      <c r="K22" s="13">
        <v>0.0</v>
      </c>
      <c r="L22" s="14"/>
      <c r="M22" s="13">
        <f t="shared" si="1"/>
        <v>0</v>
      </c>
    </row>
    <row r="23" ht="14.25" customHeight="1">
      <c r="A23" s="10">
        <v>20.0</v>
      </c>
      <c r="B23" s="11">
        <v>2620.0</v>
      </c>
      <c r="C23" s="12" t="s">
        <v>35</v>
      </c>
      <c r="D23" s="13"/>
      <c r="E23" s="13"/>
      <c r="F23" s="13">
        <v>0.0</v>
      </c>
      <c r="G23" s="13">
        <v>0.0</v>
      </c>
      <c r="H23" s="13">
        <v>0.0</v>
      </c>
      <c r="I23" s="13">
        <v>0.0</v>
      </c>
      <c r="J23" s="13">
        <v>0.0</v>
      </c>
      <c r="K23" s="13">
        <v>0.0</v>
      </c>
      <c r="L23" s="14"/>
      <c r="M23" s="13">
        <f t="shared" si="1"/>
        <v>0</v>
      </c>
    </row>
    <row r="24" ht="14.25" customHeight="1">
      <c r="A24" s="10">
        <v>21.0</v>
      </c>
      <c r="B24" s="11">
        <v>2630.0</v>
      </c>
      <c r="C24" s="12" t="s">
        <v>36</v>
      </c>
      <c r="D24" s="13"/>
      <c r="E24" s="13"/>
      <c r="F24" s="13">
        <v>0.0</v>
      </c>
      <c r="G24" s="13">
        <v>0.0</v>
      </c>
      <c r="H24" s="13">
        <v>0.0</v>
      </c>
      <c r="I24" s="13">
        <v>0.0</v>
      </c>
      <c r="J24" s="13">
        <v>0.0</v>
      </c>
      <c r="K24" s="13">
        <v>0.0</v>
      </c>
      <c r="L24" s="14"/>
      <c r="M24" s="13">
        <f t="shared" si="1"/>
        <v>0</v>
      </c>
    </row>
    <row r="25" ht="14.25" customHeight="1">
      <c r="A25" s="10">
        <v>22.0</v>
      </c>
      <c r="B25" s="11">
        <v>2640.0</v>
      </c>
      <c r="C25" s="12" t="s">
        <v>37</v>
      </c>
      <c r="D25" s="13"/>
      <c r="E25" s="13"/>
      <c r="F25" s="13">
        <v>0.0</v>
      </c>
      <c r="G25" s="13">
        <v>0.0</v>
      </c>
      <c r="H25" s="13">
        <v>0.0</v>
      </c>
      <c r="I25" s="13">
        <v>0.0</v>
      </c>
      <c r="J25" s="13">
        <v>0.0</v>
      </c>
      <c r="K25" s="13">
        <v>0.0</v>
      </c>
      <c r="L25" s="14"/>
      <c r="M25" s="13">
        <f t="shared" si="1"/>
        <v>0</v>
      </c>
    </row>
    <row r="26" ht="14.25" customHeight="1">
      <c r="A26" s="10">
        <v>23.0</v>
      </c>
      <c r="B26" s="11">
        <v>2660.0</v>
      </c>
      <c r="C26" s="12" t="s">
        <v>38</v>
      </c>
      <c r="D26" s="13"/>
      <c r="E26" s="13"/>
      <c r="F26" s="13">
        <v>0.0</v>
      </c>
      <c r="G26" s="13">
        <v>0.0</v>
      </c>
      <c r="H26" s="13">
        <v>0.0</v>
      </c>
      <c r="I26" s="13">
        <v>0.0</v>
      </c>
      <c r="J26" s="13">
        <v>0.0</v>
      </c>
      <c r="K26" s="13">
        <v>0.0</v>
      </c>
      <c r="L26" s="14"/>
      <c r="M26" s="13">
        <f t="shared" si="1"/>
        <v>0</v>
      </c>
    </row>
    <row r="27" ht="14.25" customHeight="1">
      <c r="A27" s="10">
        <v>24.0</v>
      </c>
      <c r="B27" s="11">
        <v>2900.0</v>
      </c>
      <c r="C27" s="12" t="s">
        <v>39</v>
      </c>
      <c r="D27" s="13"/>
      <c r="E27" s="13"/>
      <c r="F27" s="13">
        <f>'admin asst'!G27+TAS!G24</f>
        <v>700829.005</v>
      </c>
      <c r="G27" s="13">
        <f>'admin asst'!G28+TAS!G25</f>
        <v>214540.115</v>
      </c>
      <c r="H27" s="13">
        <f>'admin asst'!G29+TAS!G26</f>
        <v>91247.38853</v>
      </c>
      <c r="I27" s="13">
        <f>'admin asst'!G30+TAS!G27</f>
        <v>8000</v>
      </c>
      <c r="J27" s="13">
        <f>'admin asst'!G31+TAS!G28</f>
        <v>7500</v>
      </c>
      <c r="K27" s="13">
        <v>0.0</v>
      </c>
      <c r="L27" s="14"/>
      <c r="M27" s="13">
        <f t="shared" si="1"/>
        <v>1022116.508</v>
      </c>
      <c r="O27" s="15">
        <v>1030115.0</v>
      </c>
    </row>
    <row r="28" ht="14.25" customHeight="1">
      <c r="A28" s="10">
        <v>25.0</v>
      </c>
      <c r="B28" s="11">
        <v>3000.0</v>
      </c>
      <c r="C28" s="12" t="s">
        <v>40</v>
      </c>
      <c r="D28" s="13"/>
      <c r="E28" s="13"/>
      <c r="F28" s="13">
        <v>0.0</v>
      </c>
      <c r="G28" s="13">
        <v>0.0</v>
      </c>
      <c r="H28" s="13">
        <v>0.0</v>
      </c>
      <c r="I28" s="13">
        <v>0.0</v>
      </c>
      <c r="J28" s="13">
        <v>0.0</v>
      </c>
      <c r="K28" s="13">
        <v>0.0</v>
      </c>
      <c r="L28" s="14"/>
      <c r="M28" s="13">
        <f t="shared" si="1"/>
        <v>0</v>
      </c>
    </row>
    <row r="29" ht="14.25" customHeight="1">
      <c r="A29" s="10">
        <v>26.0</v>
      </c>
      <c r="B29" s="11">
        <v>5310.0</v>
      </c>
      <c r="C29" s="12" t="s">
        <v>41</v>
      </c>
      <c r="D29" s="13"/>
      <c r="E29" s="13"/>
      <c r="F29" s="13">
        <v>0.0</v>
      </c>
      <c r="G29" s="13">
        <v>0.0</v>
      </c>
      <c r="H29" s="13">
        <v>0.0</v>
      </c>
      <c r="I29" s="13">
        <v>0.0</v>
      </c>
      <c r="J29" s="13">
        <v>0.0</v>
      </c>
      <c r="K29" s="13">
        <v>0.0</v>
      </c>
      <c r="L29" s="14"/>
      <c r="M29" s="13">
        <f t="shared" si="1"/>
        <v>0</v>
      </c>
    </row>
    <row r="30" ht="14.25" customHeight="1">
      <c r="A30" s="10">
        <v>27.0</v>
      </c>
      <c r="B30" s="11">
        <v>4100.0</v>
      </c>
      <c r="C30" s="12" t="s">
        <v>42</v>
      </c>
      <c r="D30" s="14"/>
      <c r="E30" s="14"/>
      <c r="F30" s="14"/>
      <c r="G30" s="14"/>
      <c r="H30" s="13">
        <f>Other!C14</f>
        <v>115526</v>
      </c>
      <c r="I30" s="14"/>
      <c r="J30" s="14"/>
      <c r="K30" s="13">
        <f>Other!C20</f>
        <v>200000</v>
      </c>
      <c r="L30" s="13"/>
      <c r="M30" s="13">
        <f t="shared" si="1"/>
        <v>315526</v>
      </c>
      <c r="O30" s="15">
        <v>315526.0</v>
      </c>
    </row>
    <row r="31" ht="14.25" customHeight="1">
      <c r="A31" s="10">
        <v>28.0</v>
      </c>
      <c r="B31" s="16" t="s">
        <v>43</v>
      </c>
      <c r="C31" s="5"/>
      <c r="D31" s="17"/>
      <c r="E31" s="17"/>
      <c r="F31" s="13">
        <f t="shared" ref="F31:K31" si="2">SUM(F7:F30)</f>
        <v>3500616.51</v>
      </c>
      <c r="G31" s="13">
        <f t="shared" si="2"/>
        <v>900871.1897</v>
      </c>
      <c r="H31" s="13">
        <f t="shared" si="2"/>
        <v>983675.5073</v>
      </c>
      <c r="I31" s="13">
        <f t="shared" si="2"/>
        <v>89788</v>
      </c>
      <c r="J31" s="13">
        <f t="shared" si="2"/>
        <v>85900</v>
      </c>
      <c r="K31" s="13">
        <f t="shared" si="2"/>
        <v>200000</v>
      </c>
      <c r="L31" s="13">
        <v>0.0</v>
      </c>
      <c r="M31" s="13">
        <f>SUM(M7:M30)</f>
        <v>5760851.207</v>
      </c>
    </row>
    <row r="32" ht="14.25" customHeight="1">
      <c r="A32" s="10">
        <v>29.0</v>
      </c>
      <c r="B32" s="16" t="s">
        <v>44</v>
      </c>
      <c r="C32" s="5"/>
      <c r="D32" s="17"/>
      <c r="E32" s="17"/>
      <c r="F32" s="18"/>
      <c r="G32" s="19"/>
      <c r="H32" s="19"/>
      <c r="I32" s="19"/>
      <c r="J32" s="19"/>
      <c r="K32" s="19"/>
      <c r="L32" s="19"/>
      <c r="M32" s="20"/>
      <c r="O32" s="15" t="s">
        <v>45</v>
      </c>
    </row>
    <row r="33" ht="14.25" customHeight="1">
      <c r="A33" s="10">
        <v>30.0</v>
      </c>
      <c r="B33" s="16" t="s">
        <v>46</v>
      </c>
      <c r="C33" s="5"/>
      <c r="D33" s="17"/>
      <c r="E33" s="17"/>
      <c r="F33" s="18"/>
      <c r="G33" s="19"/>
      <c r="H33" s="19"/>
      <c r="I33" s="19"/>
      <c r="J33" s="19"/>
      <c r="K33" s="19"/>
      <c r="L33" s="21"/>
      <c r="M33" s="13">
        <f>SUM(F31:L31)</f>
        <v>5760851.207</v>
      </c>
      <c r="O33" s="15">
        <v>5509410.0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M1"/>
    <mergeCell ref="A2:M2"/>
    <mergeCell ref="K3:M3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3.75"/>
    <col customWidth="1" min="3" max="3" width="8.88"/>
    <col customWidth="1" min="4" max="4" width="7.0"/>
    <col customWidth="1" min="5" max="5" width="8.75"/>
    <col customWidth="1" min="6" max="6" width="9.38"/>
    <col customWidth="1" min="7" max="7" width="9.88"/>
    <col customWidth="1" min="8" max="8" width="6.75"/>
    <col customWidth="1" min="9" max="9" width="9.63"/>
    <col customWidth="1" min="10" max="10" width="7.0"/>
    <col customWidth="1" min="11" max="11" width="7.38"/>
    <col customWidth="1" min="12" max="12" width="8.0"/>
    <col customWidth="1" min="13" max="26" width="7.63"/>
  </cols>
  <sheetData>
    <row r="1" ht="14.25" customHeight="1">
      <c r="A1" s="22" t="s">
        <v>47</v>
      </c>
      <c r="B1" s="22" t="s">
        <v>48</v>
      </c>
      <c r="C1" s="22" t="s">
        <v>49</v>
      </c>
      <c r="D1" s="23" t="s">
        <v>139</v>
      </c>
      <c r="E1" s="23" t="s">
        <v>51</v>
      </c>
      <c r="F1" s="23" t="s">
        <v>56</v>
      </c>
      <c r="G1" s="23" t="s">
        <v>57</v>
      </c>
      <c r="H1" s="23" t="s">
        <v>140</v>
      </c>
      <c r="I1" s="23" t="s">
        <v>58</v>
      </c>
      <c r="J1" s="22"/>
      <c r="K1" s="22"/>
      <c r="L1" s="51" t="s">
        <v>104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4.25" customHeight="1">
      <c r="A2" s="24" t="s">
        <v>324</v>
      </c>
      <c r="B2" s="25">
        <v>1.0</v>
      </c>
      <c r="C2" s="192">
        <f>54209*1.045</f>
        <v>56648.405</v>
      </c>
      <c r="D2" s="27">
        <v>0.0</v>
      </c>
      <c r="E2" s="27">
        <f t="shared" ref="E2:E22" si="1">D2+C2</f>
        <v>56648.405</v>
      </c>
      <c r="F2" s="27">
        <f>E2*L30</f>
        <v>821.4018725</v>
      </c>
      <c r="G2" s="27">
        <f>E2*L31</f>
        <v>3512.20111</v>
      </c>
      <c r="H2" s="27">
        <f>E2*L33</f>
        <v>7222.671638</v>
      </c>
      <c r="I2" s="27">
        <v>8000.0</v>
      </c>
      <c r="J2" s="27" t="s">
        <v>104</v>
      </c>
      <c r="K2" s="27"/>
      <c r="L2" s="27"/>
      <c r="M2" s="27"/>
    </row>
    <row r="3" ht="14.25" customHeight="1">
      <c r="A3" s="24" t="s">
        <v>325</v>
      </c>
      <c r="B3" s="25">
        <v>1.0</v>
      </c>
      <c r="C3" s="193">
        <v>42823.0</v>
      </c>
      <c r="D3" s="27">
        <v>0.0</v>
      </c>
      <c r="E3" s="27">
        <f t="shared" si="1"/>
        <v>42823</v>
      </c>
      <c r="F3" s="27">
        <f>E3*L30</f>
        <v>620.9335</v>
      </c>
      <c r="G3" s="27">
        <f>E3*L31</f>
        <v>2655.026</v>
      </c>
      <c r="H3" s="27">
        <f>E3*L33</f>
        <v>5459.9325</v>
      </c>
      <c r="I3" s="27">
        <v>8000.0</v>
      </c>
      <c r="J3" s="27" t="s">
        <v>104</v>
      </c>
      <c r="K3" s="27"/>
      <c r="L3" s="27"/>
      <c r="M3" s="27"/>
    </row>
    <row r="4" ht="14.25" customHeight="1">
      <c r="A4" s="24" t="s">
        <v>326</v>
      </c>
      <c r="B4" s="25">
        <v>1.0</v>
      </c>
      <c r="C4" s="192">
        <f>27518*1.045</f>
        <v>28756.31</v>
      </c>
      <c r="D4" s="27">
        <v>0.0</v>
      </c>
      <c r="E4" s="27">
        <f t="shared" si="1"/>
        <v>28756.31</v>
      </c>
      <c r="F4" s="27">
        <f>E4*L30</f>
        <v>416.966495</v>
      </c>
      <c r="G4" s="27">
        <f>E4*L31</f>
        <v>1782.89122</v>
      </c>
      <c r="H4" s="27">
        <f>E4*L33</f>
        <v>3666.429525</v>
      </c>
      <c r="I4" s="27">
        <v>8000.0</v>
      </c>
      <c r="J4" s="27" t="s">
        <v>104</v>
      </c>
      <c r="K4" s="27"/>
      <c r="L4" s="27"/>
      <c r="M4" s="27"/>
    </row>
    <row r="5" ht="14.25" customHeight="1">
      <c r="A5" s="133" t="s">
        <v>327</v>
      </c>
      <c r="B5" s="57">
        <v>1.0</v>
      </c>
      <c r="C5" s="193">
        <v>34545.0</v>
      </c>
      <c r="D5" s="27">
        <v>0.0</v>
      </c>
      <c r="E5" s="27">
        <f t="shared" si="1"/>
        <v>34545</v>
      </c>
      <c r="F5" s="27">
        <f>E5*L30</f>
        <v>500.9025</v>
      </c>
      <c r="G5" s="27">
        <f>E5*L31</f>
        <v>2141.79</v>
      </c>
      <c r="H5" s="27">
        <f>E5*L33</f>
        <v>4404.4875</v>
      </c>
      <c r="I5" s="27">
        <v>8000.0</v>
      </c>
      <c r="J5" s="27" t="s">
        <v>104</v>
      </c>
      <c r="K5" s="27"/>
      <c r="L5" s="27"/>
      <c r="M5" s="27"/>
    </row>
    <row r="6" ht="14.25" customHeight="1">
      <c r="A6" s="24" t="s">
        <v>328</v>
      </c>
      <c r="B6" s="25">
        <v>1.0</v>
      </c>
      <c r="C6" s="193">
        <v>31572.0</v>
      </c>
      <c r="D6" s="27">
        <v>0.0</v>
      </c>
      <c r="E6" s="27">
        <f t="shared" si="1"/>
        <v>31572</v>
      </c>
      <c r="F6" s="27">
        <f>E6*L30</f>
        <v>457.794</v>
      </c>
      <c r="G6" s="27">
        <f>E6*L31</f>
        <v>1957.464</v>
      </c>
      <c r="H6" s="27">
        <f>E6*L33</f>
        <v>4025.43</v>
      </c>
      <c r="I6" s="27">
        <v>8000.0</v>
      </c>
      <c r="J6" s="27" t="s">
        <v>104</v>
      </c>
      <c r="K6" s="27"/>
      <c r="L6" s="27"/>
      <c r="M6" s="27"/>
    </row>
    <row r="7" ht="14.25" customHeight="1">
      <c r="A7" s="41" t="s">
        <v>104</v>
      </c>
      <c r="B7" s="25">
        <v>0.0</v>
      </c>
      <c r="C7" s="27">
        <v>0.0</v>
      </c>
      <c r="D7" s="27">
        <v>0.0</v>
      </c>
      <c r="E7" s="27">
        <f t="shared" si="1"/>
        <v>0</v>
      </c>
      <c r="F7" s="27">
        <f>E7*L30</f>
        <v>0</v>
      </c>
      <c r="G7" s="27">
        <f>E7*L31</f>
        <v>0</v>
      </c>
      <c r="H7" s="27">
        <f>E7*L33</f>
        <v>0</v>
      </c>
      <c r="I7" s="27">
        <v>0.0</v>
      </c>
      <c r="J7" s="27" t="s">
        <v>104</v>
      </c>
      <c r="K7" s="27"/>
      <c r="L7" s="27"/>
      <c r="M7" s="27"/>
    </row>
    <row r="8" ht="14.25" customHeight="1">
      <c r="A8" s="24" t="s">
        <v>329</v>
      </c>
      <c r="B8" s="25">
        <v>1.0</v>
      </c>
      <c r="C8" s="59">
        <f>9734*1.04</f>
        <v>10123.36</v>
      </c>
      <c r="D8" s="27">
        <v>0.0</v>
      </c>
      <c r="E8" s="27">
        <f t="shared" si="1"/>
        <v>10123.36</v>
      </c>
      <c r="F8" s="27">
        <f>E8*L30</f>
        <v>146.78872</v>
      </c>
      <c r="G8" s="27">
        <f>E8*L31</f>
        <v>627.64832</v>
      </c>
      <c r="H8" s="27">
        <f>E8*L33</f>
        <v>1290.7284</v>
      </c>
      <c r="I8" s="27">
        <v>0.0</v>
      </c>
      <c r="J8" s="27" t="s">
        <v>104</v>
      </c>
      <c r="K8" s="27"/>
      <c r="L8" s="27"/>
      <c r="M8" s="27"/>
    </row>
    <row r="9" ht="14.25" customHeight="1">
      <c r="A9" s="133" t="s">
        <v>330</v>
      </c>
      <c r="B9" s="57">
        <v>1.0</v>
      </c>
      <c r="C9" s="53">
        <v>40000.0</v>
      </c>
      <c r="D9" s="27"/>
      <c r="E9" s="27">
        <f t="shared" si="1"/>
        <v>40000</v>
      </c>
      <c r="F9" s="27">
        <f>E9*L30</f>
        <v>580</v>
      </c>
      <c r="G9" s="27">
        <f>E9*L31</f>
        <v>2480</v>
      </c>
      <c r="H9" s="27">
        <f>E9*L33</f>
        <v>5100</v>
      </c>
      <c r="I9" s="40">
        <v>8000.0</v>
      </c>
      <c r="J9" s="27"/>
      <c r="K9" s="27"/>
      <c r="L9" s="27"/>
      <c r="M9" s="27">
        <f>SUM(E9:I9)+1000</f>
        <v>57160</v>
      </c>
      <c r="N9" s="55">
        <f>M9*0.6</f>
        <v>34296</v>
      </c>
      <c r="O9" s="55">
        <f>M9*0.4</f>
        <v>22864</v>
      </c>
    </row>
    <row r="10" ht="14.25" customHeight="1">
      <c r="A10" s="24" t="s">
        <v>102</v>
      </c>
      <c r="B10" s="25">
        <v>1.0</v>
      </c>
      <c r="C10" s="59">
        <f>58000*1.045</f>
        <v>60610</v>
      </c>
      <c r="D10" s="27">
        <v>0.0</v>
      </c>
      <c r="E10" s="27">
        <f t="shared" si="1"/>
        <v>60610</v>
      </c>
      <c r="F10" s="27">
        <f>E10*L30</f>
        <v>878.845</v>
      </c>
      <c r="G10" s="27">
        <f>E10*L31</f>
        <v>3757.82</v>
      </c>
      <c r="H10" s="27">
        <f>C10*L33</f>
        <v>7727.775</v>
      </c>
      <c r="I10" s="27">
        <v>8000.0</v>
      </c>
      <c r="J10" s="27" t="s">
        <v>104</v>
      </c>
      <c r="K10" s="27"/>
      <c r="L10" s="27"/>
      <c r="M10" s="27">
        <f>SUM(E10:L10)</f>
        <v>80974.44</v>
      </c>
    </row>
    <row r="11" ht="14.25" customHeight="1">
      <c r="A11" s="41" t="s">
        <v>331</v>
      </c>
      <c r="B11" s="25">
        <v>1.0</v>
      </c>
      <c r="C11" s="59">
        <v>40000.0</v>
      </c>
      <c r="D11" s="27">
        <v>0.0</v>
      </c>
      <c r="E11" s="27">
        <f t="shared" si="1"/>
        <v>40000</v>
      </c>
      <c r="F11" s="27">
        <f>E11*L30</f>
        <v>580</v>
      </c>
      <c r="G11" s="27">
        <f>E11*L31</f>
        <v>2480</v>
      </c>
      <c r="H11" s="27"/>
      <c r="I11" s="27">
        <v>8000.0</v>
      </c>
      <c r="J11" s="27">
        <f>sum(E11:I11)</f>
        <v>51060</v>
      </c>
      <c r="K11" s="27"/>
      <c r="L11" s="27"/>
      <c r="M11" s="27"/>
    </row>
    <row r="12" ht="14.25" customHeight="1">
      <c r="A12" s="41" t="s">
        <v>332</v>
      </c>
      <c r="B12" s="25">
        <v>0.0</v>
      </c>
      <c r="C12" s="27">
        <v>1600.0</v>
      </c>
      <c r="D12" s="27">
        <v>0.0</v>
      </c>
      <c r="E12" s="27">
        <f t="shared" si="1"/>
        <v>1600</v>
      </c>
      <c r="F12" s="27">
        <f>E12*L30</f>
        <v>23.2</v>
      </c>
      <c r="G12" s="27">
        <f>E12*L31</f>
        <v>99.2</v>
      </c>
      <c r="H12" s="27">
        <f>C12*L29</f>
        <v>9.28</v>
      </c>
      <c r="I12" s="27"/>
      <c r="J12" s="27">
        <f>C12*L30</f>
        <v>23.2</v>
      </c>
      <c r="K12" s="27"/>
      <c r="L12" s="27"/>
      <c r="M12" s="27"/>
    </row>
    <row r="13" ht="14.25" customHeight="1">
      <c r="A13" s="22" t="s">
        <v>153</v>
      </c>
      <c r="B13" s="63">
        <f>SUM(B2:B12)-B8</f>
        <v>8</v>
      </c>
      <c r="C13" s="64">
        <f t="shared" ref="C13:D13" si="2">SUM(C2:C12)</f>
        <v>346678.075</v>
      </c>
      <c r="D13" s="64">
        <f t="shared" si="2"/>
        <v>0</v>
      </c>
      <c r="E13" s="64">
        <f t="shared" si="1"/>
        <v>346678.075</v>
      </c>
      <c r="F13" s="64">
        <f t="shared" ref="F13:H13" si="3">SUM(F2:F12)</f>
        <v>5026.832088</v>
      </c>
      <c r="G13" s="64">
        <f t="shared" si="3"/>
        <v>21494.04065</v>
      </c>
      <c r="H13" s="64">
        <f t="shared" si="3"/>
        <v>38906.73456</v>
      </c>
      <c r="I13" s="64">
        <f>B13*L32</f>
        <v>64000</v>
      </c>
      <c r="J13" s="64" t="s">
        <v>104</v>
      </c>
      <c r="K13" s="64"/>
      <c r="L13" s="27" t="s">
        <v>104</v>
      </c>
      <c r="M13" s="27"/>
    </row>
    <row r="14" ht="14.25" customHeight="1">
      <c r="A14" s="41" t="s">
        <v>104</v>
      </c>
      <c r="B14" s="25">
        <v>0.0</v>
      </c>
      <c r="C14" s="27">
        <v>0.0</v>
      </c>
      <c r="D14" s="27">
        <v>0.0</v>
      </c>
      <c r="E14" s="27">
        <f t="shared" si="1"/>
        <v>0</v>
      </c>
      <c r="F14" s="27">
        <v>0.0</v>
      </c>
      <c r="G14" s="27">
        <v>0.0</v>
      </c>
      <c r="H14" s="27">
        <f>C14*L29</f>
        <v>0</v>
      </c>
      <c r="I14" s="27">
        <f>C14+F14+G14+H14</f>
        <v>0</v>
      </c>
      <c r="J14" s="27">
        <f>C14*L30</f>
        <v>0</v>
      </c>
      <c r="K14" s="27"/>
      <c r="L14" s="27"/>
      <c r="M14" s="27"/>
    </row>
    <row r="15" ht="14.25" customHeight="1">
      <c r="A15" s="41" t="s">
        <v>104</v>
      </c>
      <c r="B15" s="25">
        <v>0.0</v>
      </c>
      <c r="C15" s="27">
        <v>0.0</v>
      </c>
      <c r="D15" s="27">
        <v>0.0</v>
      </c>
      <c r="E15" s="27">
        <f t="shared" si="1"/>
        <v>0</v>
      </c>
      <c r="F15" s="27">
        <v>0.0</v>
      </c>
      <c r="G15" s="27">
        <v>0.0</v>
      </c>
      <c r="H15" s="27">
        <v>0.0</v>
      </c>
      <c r="I15" s="27">
        <v>0.0</v>
      </c>
      <c r="J15" s="27">
        <v>0.0</v>
      </c>
      <c r="K15" s="27"/>
      <c r="L15" s="27"/>
      <c r="M15" s="27"/>
    </row>
    <row r="16" ht="14.25" customHeight="1">
      <c r="A16" s="41" t="s">
        <v>104</v>
      </c>
      <c r="B16" s="25">
        <v>0.0</v>
      </c>
      <c r="C16" s="27">
        <v>0.0</v>
      </c>
      <c r="D16" s="27"/>
      <c r="E16" s="27">
        <f t="shared" si="1"/>
        <v>0</v>
      </c>
      <c r="F16" s="27">
        <v>0.0</v>
      </c>
      <c r="G16" s="27">
        <v>0.0</v>
      </c>
      <c r="H16" s="27">
        <v>0.0</v>
      </c>
      <c r="I16" s="27">
        <v>0.0</v>
      </c>
      <c r="J16" s="27">
        <v>0.0</v>
      </c>
      <c r="K16" s="27"/>
      <c r="L16" s="27"/>
      <c r="M16" s="27"/>
    </row>
    <row r="17" ht="14.25" customHeight="1">
      <c r="A17" s="41" t="s">
        <v>104</v>
      </c>
      <c r="B17" s="25">
        <v>0.0</v>
      </c>
      <c r="C17" s="27">
        <v>0.0</v>
      </c>
      <c r="D17" s="27">
        <v>0.0</v>
      </c>
      <c r="E17" s="27">
        <f t="shared" si="1"/>
        <v>0</v>
      </c>
      <c r="F17" s="27">
        <v>0.0</v>
      </c>
      <c r="G17" s="27">
        <v>0.0</v>
      </c>
      <c r="H17" s="27">
        <v>0.0</v>
      </c>
      <c r="I17" s="27">
        <v>0.0</v>
      </c>
      <c r="J17" s="27">
        <v>0.0</v>
      </c>
      <c r="K17" s="27"/>
      <c r="L17" s="27"/>
      <c r="M17" s="27"/>
    </row>
    <row r="18" ht="14.25" customHeight="1">
      <c r="A18" s="41" t="s">
        <v>104</v>
      </c>
      <c r="B18" s="25">
        <v>0.0</v>
      </c>
      <c r="C18" s="27">
        <v>0.0</v>
      </c>
      <c r="D18" s="38"/>
      <c r="E18" s="27">
        <f t="shared" si="1"/>
        <v>0</v>
      </c>
      <c r="F18" s="27">
        <v>0.0</v>
      </c>
      <c r="G18" s="27">
        <v>0.0</v>
      </c>
      <c r="H18" s="27">
        <v>0.0</v>
      </c>
      <c r="I18" s="27">
        <v>0.0</v>
      </c>
      <c r="J18" s="27">
        <v>0.0</v>
      </c>
      <c r="K18" s="38"/>
      <c r="L18" s="38"/>
      <c r="M18" s="27"/>
    </row>
    <row r="19" ht="14.25" customHeight="1">
      <c r="A19" s="41" t="s">
        <v>104</v>
      </c>
      <c r="B19" s="25">
        <v>0.0</v>
      </c>
      <c r="C19" s="27">
        <v>0.0</v>
      </c>
      <c r="D19" s="27">
        <v>0.0</v>
      </c>
      <c r="E19" s="27">
        <f t="shared" si="1"/>
        <v>0</v>
      </c>
      <c r="F19" s="27">
        <v>0.0</v>
      </c>
      <c r="G19" s="27">
        <v>0.0</v>
      </c>
      <c r="H19" s="27">
        <v>0.0</v>
      </c>
      <c r="I19" s="27">
        <v>0.0</v>
      </c>
      <c r="J19" s="27">
        <v>0.0</v>
      </c>
      <c r="K19" s="27"/>
      <c r="L19" s="27">
        <v>0.0</v>
      </c>
      <c r="M19" s="27"/>
    </row>
    <row r="20" ht="14.25" customHeight="1">
      <c r="A20" s="41" t="s">
        <v>104</v>
      </c>
      <c r="B20" s="25">
        <v>0.0</v>
      </c>
      <c r="C20" s="27"/>
      <c r="D20" s="27"/>
      <c r="E20" s="27">
        <f t="shared" si="1"/>
        <v>0</v>
      </c>
      <c r="F20" s="27"/>
      <c r="G20" s="27"/>
      <c r="H20" s="27"/>
      <c r="I20" s="27"/>
      <c r="J20" s="27"/>
      <c r="K20" s="27"/>
      <c r="L20" s="27"/>
      <c r="M20" s="27"/>
    </row>
    <row r="21" ht="14.25" customHeight="1">
      <c r="A21" s="41" t="s">
        <v>104</v>
      </c>
      <c r="B21" s="25">
        <v>0.0</v>
      </c>
      <c r="C21" s="27">
        <v>0.0</v>
      </c>
      <c r="D21" s="27"/>
      <c r="E21" s="27">
        <f t="shared" si="1"/>
        <v>0</v>
      </c>
      <c r="F21" s="27"/>
      <c r="G21" s="27"/>
      <c r="H21" s="27"/>
      <c r="I21" s="27"/>
      <c r="J21" s="27">
        <f>E21*L30</f>
        <v>0</v>
      </c>
      <c r="K21" s="27">
        <f>C21*L31</f>
        <v>0</v>
      </c>
      <c r="L21" s="27"/>
      <c r="M21" s="27"/>
    </row>
    <row r="22" ht="14.25" customHeight="1">
      <c r="A22" s="41" t="s">
        <v>104</v>
      </c>
      <c r="B22" s="36">
        <v>0.0</v>
      </c>
      <c r="C22" s="38">
        <v>0.0</v>
      </c>
      <c r="D22" s="38"/>
      <c r="E22" s="38">
        <f t="shared" si="1"/>
        <v>0</v>
      </c>
      <c r="F22" s="38"/>
      <c r="G22" s="38"/>
      <c r="H22" s="38"/>
      <c r="I22" s="38"/>
      <c r="J22" s="38">
        <f>E22*L30</f>
        <v>0</v>
      </c>
      <c r="K22" s="38">
        <f>C22*L31</f>
        <v>0</v>
      </c>
      <c r="L22" s="27"/>
      <c r="M22" s="27"/>
    </row>
    <row r="23" ht="14.25" customHeight="1">
      <c r="B23" s="25">
        <f t="shared" ref="B23:C23" si="4">SUM(B21:B22)</f>
        <v>0</v>
      </c>
      <c r="C23" s="27">
        <f t="shared" si="4"/>
        <v>0</v>
      </c>
      <c r="D23" s="27">
        <f>SUM(D14:D22)</f>
        <v>0</v>
      </c>
      <c r="E23" s="27">
        <f t="shared" ref="E23:K23" si="5">SUM(E21:E22)</f>
        <v>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7">
        <f t="shared" si="5"/>
        <v>0</v>
      </c>
      <c r="J23" s="27">
        <f t="shared" si="5"/>
        <v>0</v>
      </c>
      <c r="K23" s="27">
        <f t="shared" si="5"/>
        <v>0</v>
      </c>
      <c r="L23" s="27"/>
      <c r="M23" s="27"/>
    </row>
    <row r="24" ht="14.25" customHeight="1">
      <c r="A24" s="42" t="s">
        <v>159</v>
      </c>
      <c r="B24" s="25">
        <f>B23+B19</f>
        <v>0</v>
      </c>
      <c r="C24" s="39">
        <f>SUM(C15:C22)</f>
        <v>0</v>
      </c>
      <c r="D24" s="39">
        <f>D23+D19</f>
        <v>0</v>
      </c>
      <c r="E24" s="39">
        <f>SUM(E15:E22)</f>
        <v>0</v>
      </c>
      <c r="F24" s="39">
        <f t="shared" ref="F24:L24" si="6">F23+F19</f>
        <v>0</v>
      </c>
      <c r="G24" s="39">
        <f t="shared" si="6"/>
        <v>0</v>
      </c>
      <c r="H24" s="39">
        <f t="shared" si="6"/>
        <v>0</v>
      </c>
      <c r="I24" s="39">
        <f t="shared" si="6"/>
        <v>0</v>
      </c>
      <c r="J24" s="39">
        <f t="shared" si="6"/>
        <v>0</v>
      </c>
      <c r="K24" s="39">
        <f t="shared" si="6"/>
        <v>0</v>
      </c>
      <c r="L24" s="39">
        <f t="shared" si="6"/>
        <v>0</v>
      </c>
      <c r="M24" s="27"/>
    </row>
    <row r="25" ht="14.25" customHeight="1">
      <c r="C25" s="27"/>
      <c r="D25" s="27"/>
      <c r="E25" s="27" t="s">
        <v>104</v>
      </c>
      <c r="F25" s="27"/>
      <c r="G25" s="27"/>
      <c r="H25" s="27"/>
      <c r="I25" s="27"/>
      <c r="J25" s="27"/>
      <c r="K25" s="27"/>
      <c r="L25" s="27"/>
      <c r="M25" s="27"/>
    </row>
    <row r="26" ht="14.25" customHeight="1">
      <c r="A26" s="41" t="s">
        <v>295</v>
      </c>
      <c r="D26" s="43"/>
      <c r="E26" s="43" t="s">
        <v>104</v>
      </c>
      <c r="F26" s="43"/>
      <c r="G26" s="43"/>
      <c r="H26" s="43"/>
      <c r="I26" s="43"/>
      <c r="J26" s="43"/>
      <c r="K26" s="43"/>
      <c r="L26" s="43"/>
    </row>
    <row r="27" ht="14.25" customHeight="1">
      <c r="A27" s="41" t="s">
        <v>107</v>
      </c>
      <c r="B27" s="41" t="s">
        <v>104</v>
      </c>
      <c r="C27" s="44">
        <f>(B13*10000)*0.014</f>
        <v>1120</v>
      </c>
      <c r="D27" s="43"/>
      <c r="E27" s="43" t="s">
        <v>108</v>
      </c>
      <c r="F27" s="27">
        <v>100.0</v>
      </c>
      <c r="G27" s="45">
        <f>C13</f>
        <v>346678.075</v>
      </c>
      <c r="J27" s="43"/>
      <c r="K27" s="43" t="s">
        <v>109</v>
      </c>
      <c r="L27" s="41">
        <v>0.09</v>
      </c>
    </row>
    <row r="28" ht="14.25" customHeight="1">
      <c r="A28" s="41" t="s">
        <v>110</v>
      </c>
      <c r="C28" s="44">
        <f>C13*0.0065</f>
        <v>2253.407488</v>
      </c>
      <c r="E28" s="41" t="s">
        <v>111</v>
      </c>
      <c r="F28" s="41">
        <v>200.0</v>
      </c>
      <c r="G28" s="45">
        <f>F13+G13+H13+I13</f>
        <v>129427.6073</v>
      </c>
      <c r="K28" s="41" t="s">
        <v>112</v>
      </c>
      <c r="L28" s="41">
        <v>0.0216</v>
      </c>
    </row>
    <row r="29" ht="14.25" customHeight="1">
      <c r="A29" s="41" t="s">
        <v>333</v>
      </c>
      <c r="C29" s="44">
        <v>10000.0</v>
      </c>
      <c r="E29" s="41" t="s">
        <v>114</v>
      </c>
      <c r="F29" s="41">
        <v>300.0</v>
      </c>
      <c r="G29" s="45">
        <f t="shared" ref="G29:G31" si="7">C31</f>
        <v>13373.40749</v>
      </c>
      <c r="K29" s="41" t="s">
        <v>115</v>
      </c>
      <c r="L29" s="41">
        <v>0.0058</v>
      </c>
    </row>
    <row r="30" ht="14.25" customHeight="1">
      <c r="A30" s="41" t="s">
        <v>104</v>
      </c>
      <c r="C30" s="46">
        <f>E24</f>
        <v>0</v>
      </c>
      <c r="E30" s="41" t="s">
        <v>117</v>
      </c>
      <c r="F30" s="41">
        <v>400.0</v>
      </c>
      <c r="G30" s="45">
        <f t="shared" si="7"/>
        <v>0</v>
      </c>
      <c r="K30" s="41" t="s">
        <v>118</v>
      </c>
      <c r="L30" s="41">
        <v>0.0145</v>
      </c>
    </row>
    <row r="31" ht="14.25" customHeight="1">
      <c r="A31" s="42" t="s">
        <v>119</v>
      </c>
      <c r="C31" s="45">
        <f>SUM(C27:C30)</f>
        <v>13373.40749</v>
      </c>
      <c r="E31" s="47" t="s">
        <v>120</v>
      </c>
      <c r="F31" s="47">
        <v>500.0</v>
      </c>
      <c r="G31" s="48">
        <f t="shared" si="7"/>
        <v>0</v>
      </c>
      <c r="K31" s="41" t="s">
        <v>121</v>
      </c>
      <c r="L31" s="41">
        <v>0.062</v>
      </c>
    </row>
    <row r="32" ht="14.25" customHeight="1">
      <c r="A32" s="42" t="s">
        <v>299</v>
      </c>
      <c r="C32" s="45">
        <v>0.0</v>
      </c>
      <c r="K32" s="41" t="s">
        <v>123</v>
      </c>
      <c r="L32" s="71">
        <f>SSW!L31</f>
        <v>8000</v>
      </c>
    </row>
    <row r="33" ht="14.25" customHeight="1">
      <c r="A33" s="42" t="s">
        <v>300</v>
      </c>
      <c r="C33" s="45">
        <v>0.0</v>
      </c>
      <c r="E33" s="42" t="s">
        <v>334</v>
      </c>
      <c r="F33" s="42"/>
      <c r="G33" s="49">
        <f>SUM(G27:G32)</f>
        <v>489479.0898</v>
      </c>
      <c r="K33" s="41" t="s">
        <v>165</v>
      </c>
      <c r="L33" s="41">
        <v>0.1275</v>
      </c>
    </row>
    <row r="34" ht="14.25" customHeight="1">
      <c r="F34" s="15" t="s">
        <v>335</v>
      </c>
      <c r="G34" s="15">
        <v>-15000.0</v>
      </c>
      <c r="K34" s="41" t="s">
        <v>126</v>
      </c>
      <c r="L34" s="41">
        <v>0.0065</v>
      </c>
    </row>
    <row r="35" ht="14.25" customHeight="1">
      <c r="G35" s="35">
        <v>-200383.0</v>
      </c>
      <c r="K35" s="41" t="s">
        <v>128</v>
      </c>
      <c r="L35" s="41">
        <v>0.014</v>
      </c>
    </row>
    <row r="36" ht="14.25" customHeight="1">
      <c r="G36" s="50">
        <f>SUM(G33:G35)</f>
        <v>274096.0898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9.0"/>
    <col customWidth="1" min="2" max="2" width="7.63"/>
    <col customWidth="1" min="3" max="3" width="12.5"/>
    <col customWidth="1" min="4" max="6" width="7.63"/>
  </cols>
  <sheetData>
    <row r="1" ht="14.25" customHeight="1">
      <c r="A1" s="42" t="s">
        <v>336</v>
      </c>
    </row>
    <row r="2" ht="14.25" customHeight="1"/>
    <row r="3" ht="14.25" customHeight="1">
      <c r="A3" s="41" t="s">
        <v>337</v>
      </c>
      <c r="C3" s="44">
        <v>33000.0</v>
      </c>
    </row>
    <row r="4" ht="14.25" customHeight="1">
      <c r="A4" s="41" t="s">
        <v>338</v>
      </c>
      <c r="C4" s="44">
        <v>8486.0</v>
      </c>
    </row>
    <row r="5" ht="14.25" customHeight="1">
      <c r="A5" s="41" t="s">
        <v>339</v>
      </c>
      <c r="C5" s="44">
        <v>2000.0</v>
      </c>
    </row>
    <row r="6" ht="14.25" customHeight="1">
      <c r="A6" s="41" t="s">
        <v>340</v>
      </c>
      <c r="C6" s="44">
        <v>11000.0</v>
      </c>
    </row>
    <row r="7" ht="14.25" customHeight="1">
      <c r="A7" s="41" t="s">
        <v>341</v>
      </c>
      <c r="C7" s="44">
        <v>4000.0</v>
      </c>
    </row>
    <row r="8" ht="14.25" customHeight="1">
      <c r="A8" s="41" t="s">
        <v>342</v>
      </c>
      <c r="C8" s="44">
        <v>48040.0</v>
      </c>
    </row>
    <row r="9" ht="14.25" customHeight="1">
      <c r="A9" s="41" t="s">
        <v>343</v>
      </c>
      <c r="C9" s="46">
        <v>9000.0</v>
      </c>
    </row>
    <row r="10" ht="14.25" customHeight="1">
      <c r="C10" s="44">
        <f>SUM(C3:C9)</f>
        <v>115526</v>
      </c>
    </row>
    <row r="11" ht="14.25" customHeight="1"/>
    <row r="12" ht="14.25" customHeight="1">
      <c r="A12" s="41" t="s">
        <v>104</v>
      </c>
    </row>
    <row r="13" ht="14.25" customHeight="1"/>
    <row r="14" ht="14.25" customHeight="1">
      <c r="A14" s="42" t="s">
        <v>344</v>
      </c>
      <c r="B14" s="42"/>
      <c r="C14" s="45">
        <f>C10</f>
        <v>115526</v>
      </c>
    </row>
    <row r="15" ht="14.25" customHeight="1"/>
    <row r="16" ht="14.25" customHeight="1">
      <c r="A16" s="32" t="s">
        <v>345</v>
      </c>
    </row>
    <row r="17" ht="14.25" customHeight="1"/>
    <row r="18" ht="14.25" customHeight="1">
      <c r="A18" s="32" t="s">
        <v>346</v>
      </c>
      <c r="C18" s="15">
        <v>200000.0</v>
      </c>
    </row>
    <row r="19" ht="14.25" customHeight="1"/>
    <row r="20" ht="14.25" customHeight="1">
      <c r="A20" s="188" t="s">
        <v>347</v>
      </c>
      <c r="C20" s="188">
        <f>C18</f>
        <v>200000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4.38"/>
    <col customWidth="1" min="3" max="3" width="8.88"/>
    <col customWidth="1" min="4" max="4" width="7.0"/>
    <col customWidth="1" min="5" max="5" width="8.75"/>
    <col customWidth="1" min="6" max="6" width="9.38"/>
    <col customWidth="1" min="7" max="7" width="8.88"/>
    <col customWidth="1" min="8" max="8" width="6.75"/>
    <col customWidth="1" min="9" max="9" width="9.63"/>
    <col customWidth="1" min="10" max="10" width="7.0"/>
    <col customWidth="1" min="11" max="11" width="7.38"/>
    <col customWidth="1" min="12" max="12" width="8.0"/>
    <col customWidth="1" min="13" max="18" width="7.63"/>
    <col customWidth="1" min="19" max="19" width="10.88"/>
    <col customWidth="1" min="20" max="20" width="8.5"/>
    <col customWidth="1" min="21" max="21" width="9.63"/>
    <col customWidth="1" min="22" max="22" width="8.25"/>
    <col customWidth="1" min="23" max="23" width="9.75"/>
    <col customWidth="1" min="24" max="24" width="9.0"/>
    <col customWidth="1" min="25" max="25" width="9.25"/>
    <col customWidth="1" min="26" max="26" width="7.63"/>
  </cols>
  <sheetData>
    <row r="1" ht="14.25" customHeight="1">
      <c r="A1" s="22" t="s">
        <v>47</v>
      </c>
      <c r="B1" s="22" t="s">
        <v>48</v>
      </c>
      <c r="C1" s="22" t="s">
        <v>49</v>
      </c>
      <c r="D1" s="23" t="s">
        <v>50</v>
      </c>
      <c r="E1" s="23" t="s">
        <v>51</v>
      </c>
      <c r="F1" s="23" t="s">
        <v>52</v>
      </c>
      <c r="G1" s="23" t="s">
        <v>53</v>
      </c>
      <c r="H1" s="23" t="s">
        <v>54</v>
      </c>
      <c r="I1" s="22" t="s">
        <v>55</v>
      </c>
      <c r="J1" s="23" t="s">
        <v>56</v>
      </c>
      <c r="K1" s="23" t="s">
        <v>57</v>
      </c>
      <c r="L1" s="23" t="s">
        <v>58</v>
      </c>
      <c r="M1" s="22"/>
      <c r="N1" s="22"/>
      <c r="O1" s="22"/>
      <c r="P1" s="22"/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67</v>
      </c>
      <c r="Z1" s="22" t="s">
        <v>68</v>
      </c>
    </row>
    <row r="2" ht="14.25" customHeight="1">
      <c r="A2" s="24" t="s">
        <v>69</v>
      </c>
      <c r="B2" s="25">
        <v>1.0</v>
      </c>
      <c r="C2" s="26">
        <f>(94625*1.045)</f>
        <v>98883.125</v>
      </c>
      <c r="D2" s="27">
        <v>0.0</v>
      </c>
      <c r="E2" s="27">
        <f t="shared" ref="E2:E15" si="1">D2+C2</f>
        <v>98883.125</v>
      </c>
      <c r="F2" s="27">
        <f>C2*L26</f>
        <v>8899.48125</v>
      </c>
      <c r="G2" s="27">
        <f>C2*L27</f>
        <v>2135.8755</v>
      </c>
      <c r="H2" s="27">
        <f>C2*L28</f>
        <v>573.522125</v>
      </c>
      <c r="I2" s="27">
        <f t="shared" ref="I2:I17" si="2">C2+F2+G2+H2</f>
        <v>110492.0039</v>
      </c>
      <c r="J2" s="27">
        <f>C2*L29</f>
        <v>1433.805313</v>
      </c>
      <c r="K2" s="27"/>
      <c r="L2" s="27">
        <v>8000.0</v>
      </c>
      <c r="M2" s="27"/>
      <c r="P2" s="15" t="s">
        <v>70</v>
      </c>
      <c r="Q2" s="15">
        <v>1.0</v>
      </c>
      <c r="R2" s="28">
        <v>5.0</v>
      </c>
      <c r="S2" s="28">
        <v>14.0</v>
      </c>
      <c r="T2" s="28">
        <v>5.0</v>
      </c>
      <c r="U2" s="28">
        <v>0.0</v>
      </c>
      <c r="V2" s="15">
        <v>2.0</v>
      </c>
      <c r="W2" s="28">
        <v>3.0</v>
      </c>
      <c r="X2" s="28">
        <v>2.0</v>
      </c>
      <c r="Y2" s="15">
        <v>5.0</v>
      </c>
      <c r="Z2" s="28">
        <v>0.0</v>
      </c>
    </row>
    <row r="3" ht="14.25" customHeight="1">
      <c r="A3" s="24"/>
      <c r="B3" s="25"/>
      <c r="C3" s="29"/>
      <c r="D3" s="27">
        <v>0.0</v>
      </c>
      <c r="E3" s="27">
        <f t="shared" si="1"/>
        <v>0</v>
      </c>
      <c r="F3" s="27">
        <f>C3*L26</f>
        <v>0</v>
      </c>
      <c r="G3" s="27">
        <f>C3*L27</f>
        <v>0</v>
      </c>
      <c r="H3" s="27">
        <f>C3*L28</f>
        <v>0</v>
      </c>
      <c r="I3" s="27">
        <f t="shared" si="2"/>
        <v>0</v>
      </c>
      <c r="J3" s="27">
        <f>C3*L29</f>
        <v>0</v>
      </c>
      <c r="K3" s="27"/>
      <c r="L3" s="27"/>
      <c r="M3" s="27"/>
      <c r="P3" s="15" t="s">
        <v>71</v>
      </c>
      <c r="Q3" s="15">
        <v>14584.0</v>
      </c>
      <c r="R3" s="15"/>
      <c r="S3" s="15">
        <v>14584.0</v>
      </c>
      <c r="T3" s="15">
        <v>14584.0</v>
      </c>
      <c r="U3" s="15">
        <v>14584.0</v>
      </c>
      <c r="V3" s="15">
        <v>14584.0</v>
      </c>
      <c r="W3" s="15">
        <v>14584.0</v>
      </c>
      <c r="X3" s="15">
        <v>14584.0</v>
      </c>
      <c r="Y3" s="30"/>
      <c r="Z3" s="15">
        <v>14400.0</v>
      </c>
    </row>
    <row r="4" ht="14.25" customHeight="1">
      <c r="A4" s="24" t="s">
        <v>72</v>
      </c>
      <c r="B4" s="25">
        <v>1.0</v>
      </c>
      <c r="C4" s="29">
        <f>45835*1.06</f>
        <v>48585.1</v>
      </c>
      <c r="D4" s="31">
        <v>3600.0</v>
      </c>
      <c r="E4" s="27">
        <f t="shared" si="1"/>
        <v>52185.1</v>
      </c>
      <c r="F4" s="27">
        <f>C4*L26</f>
        <v>4372.659</v>
      </c>
      <c r="G4" s="27">
        <f>C4*L27</f>
        <v>1049.43816</v>
      </c>
      <c r="H4" s="27">
        <f>C4*L28</f>
        <v>281.79358</v>
      </c>
      <c r="I4" s="27">
        <f t="shared" si="2"/>
        <v>54288.99074</v>
      </c>
      <c r="J4" s="27">
        <f>C4*L29</f>
        <v>704.48395</v>
      </c>
      <c r="K4" s="27"/>
      <c r="L4" s="27">
        <v>8000.0</v>
      </c>
      <c r="M4" s="27">
        <f>SUM(I4:L4)</f>
        <v>62993.47469</v>
      </c>
      <c r="N4" s="32" t="s">
        <v>73</v>
      </c>
      <c r="O4" s="32" t="s">
        <v>74</v>
      </c>
      <c r="P4" s="15" t="s">
        <v>75</v>
      </c>
      <c r="Q4" s="15">
        <f>Q2*Q3</f>
        <v>14584</v>
      </c>
      <c r="R4" s="33">
        <f>M17</f>
        <v>84328.17673</v>
      </c>
      <c r="S4" s="15">
        <f t="shared" ref="S4:X4" si="3">S2*S3</f>
        <v>204176</v>
      </c>
      <c r="T4" s="15">
        <f t="shared" si="3"/>
        <v>72920</v>
      </c>
      <c r="U4" s="15">
        <f t="shared" si="3"/>
        <v>0</v>
      </c>
      <c r="V4" s="15">
        <f t="shared" si="3"/>
        <v>29168</v>
      </c>
      <c r="W4" s="15">
        <f t="shared" si="3"/>
        <v>43752</v>
      </c>
      <c r="X4" s="15">
        <f t="shared" si="3"/>
        <v>29168</v>
      </c>
      <c r="Y4" s="28">
        <v>80974.0</v>
      </c>
      <c r="Z4" s="15">
        <f>Z2*Z3</f>
        <v>0</v>
      </c>
    </row>
    <row r="5" ht="14.25" customHeight="1">
      <c r="A5" s="24" t="s">
        <v>76</v>
      </c>
      <c r="B5" s="25">
        <v>1.0</v>
      </c>
      <c r="C5" s="26">
        <f>44085*1.045</f>
        <v>46068.825</v>
      </c>
      <c r="D5" s="34">
        <v>3600.0</v>
      </c>
      <c r="E5" s="27">
        <f t="shared" si="1"/>
        <v>49668.825</v>
      </c>
      <c r="F5" s="27">
        <f>C5*L26</f>
        <v>4146.19425</v>
      </c>
      <c r="G5" s="27">
        <f>C5*L27</f>
        <v>995.08662</v>
      </c>
      <c r="H5" s="27">
        <f>C5*L28</f>
        <v>267.199185</v>
      </c>
      <c r="I5" s="27">
        <f t="shared" si="2"/>
        <v>51477.30506</v>
      </c>
      <c r="J5" s="27">
        <f>C5*L29</f>
        <v>667.9979625</v>
      </c>
      <c r="K5" s="27"/>
      <c r="L5" s="27">
        <v>8000.0</v>
      </c>
      <c r="M5" s="27"/>
    </row>
    <row r="6" ht="14.25" customHeight="1">
      <c r="A6" s="24" t="s">
        <v>77</v>
      </c>
      <c r="B6" s="25">
        <v>1.0</v>
      </c>
      <c r="C6" s="26">
        <f>85667*1.06</f>
        <v>90807.02</v>
      </c>
      <c r="D6" s="27"/>
      <c r="E6" s="27">
        <f t="shared" si="1"/>
        <v>90807.02</v>
      </c>
      <c r="F6" s="27">
        <f>C6*L26</f>
        <v>8172.6318</v>
      </c>
      <c r="G6" s="27">
        <f>C6*L27</f>
        <v>1961.431632</v>
      </c>
      <c r="H6" s="27">
        <f>C6*L28</f>
        <v>526.680716</v>
      </c>
      <c r="I6" s="27">
        <f t="shared" si="2"/>
        <v>101467.7641</v>
      </c>
      <c r="J6" s="27">
        <f>C6*L29</f>
        <v>1316.70179</v>
      </c>
      <c r="K6" s="27"/>
      <c r="L6" s="27">
        <v>8000.0</v>
      </c>
      <c r="M6" s="27"/>
    </row>
    <row r="7" ht="14.25" customHeight="1">
      <c r="A7" s="24" t="s">
        <v>78</v>
      </c>
      <c r="B7" s="25">
        <v>1.0</v>
      </c>
      <c r="C7" s="26">
        <f>(51036*1.045)+500</f>
        <v>53832.62</v>
      </c>
      <c r="D7" s="27"/>
      <c r="E7" s="27">
        <f t="shared" si="1"/>
        <v>53832.62</v>
      </c>
      <c r="F7" s="27">
        <f>C7*L26</f>
        <v>4844.9358</v>
      </c>
      <c r="G7" s="27">
        <f>C7*L27</f>
        <v>1162.784592</v>
      </c>
      <c r="H7" s="27">
        <f>C7*L28</f>
        <v>312.229196</v>
      </c>
      <c r="I7" s="27">
        <f t="shared" si="2"/>
        <v>60152.56959</v>
      </c>
      <c r="J7" s="27">
        <f>C7*L29</f>
        <v>780.57299</v>
      </c>
      <c r="K7" s="27"/>
      <c r="L7" s="27">
        <v>8000.0</v>
      </c>
      <c r="M7" s="27"/>
    </row>
    <row r="8" ht="14.25" customHeight="1">
      <c r="A8" s="24" t="s">
        <v>79</v>
      </c>
      <c r="B8" s="25">
        <v>1.0</v>
      </c>
      <c r="C8" s="26">
        <f>(46776*1.045)+500</f>
        <v>49380.92</v>
      </c>
      <c r="D8" s="27"/>
      <c r="E8" s="27">
        <f t="shared" si="1"/>
        <v>49380.92</v>
      </c>
      <c r="F8" s="27">
        <f>C8*L26</f>
        <v>4444.2828</v>
      </c>
      <c r="G8" s="27">
        <f>C8*L27</f>
        <v>1066.627872</v>
      </c>
      <c r="H8" s="27">
        <f>C8*L28</f>
        <v>286.409336</v>
      </c>
      <c r="I8" s="27">
        <f t="shared" si="2"/>
        <v>55178.24001</v>
      </c>
      <c r="J8" s="27">
        <f>C8*L29</f>
        <v>716.02334</v>
      </c>
      <c r="K8" s="27"/>
      <c r="L8" s="27">
        <v>8000.0</v>
      </c>
      <c r="M8" s="27">
        <f>SUM(I8:L8)*0.2</f>
        <v>12778.85267</v>
      </c>
      <c r="N8" s="32" t="s">
        <v>80</v>
      </c>
      <c r="O8" s="32" t="s">
        <v>59</v>
      </c>
    </row>
    <row r="9" ht="14.25" customHeight="1">
      <c r="A9" s="24" t="s">
        <v>81</v>
      </c>
      <c r="B9" s="25">
        <v>1.0</v>
      </c>
      <c r="C9" s="26">
        <f>(49236*1.045)+500</f>
        <v>51951.62</v>
      </c>
      <c r="D9" s="31">
        <v>3600.0</v>
      </c>
      <c r="E9" s="27">
        <f t="shared" si="1"/>
        <v>55551.62</v>
      </c>
      <c r="F9" s="27">
        <f>C9*L26</f>
        <v>4675.6458</v>
      </c>
      <c r="G9" s="27">
        <f>C9*L27</f>
        <v>1122.154992</v>
      </c>
      <c r="H9" s="27">
        <f>C9*L28</f>
        <v>301.319396</v>
      </c>
      <c r="I9" s="27">
        <f t="shared" si="2"/>
        <v>58050.74019</v>
      </c>
      <c r="J9" s="27">
        <f>C9*L29</f>
        <v>753.29849</v>
      </c>
      <c r="K9" s="27"/>
      <c r="L9" s="27">
        <v>8000.0</v>
      </c>
      <c r="M9" s="27">
        <f t="shared" ref="M9:M10" si="4">SUM(I9:L9)*0.4</f>
        <v>26721.61547</v>
      </c>
      <c r="N9" s="32" t="s">
        <v>82</v>
      </c>
      <c r="O9" s="32" t="s">
        <v>83</v>
      </c>
    </row>
    <row r="10" ht="14.25" customHeight="1">
      <c r="A10" s="24" t="s">
        <v>84</v>
      </c>
      <c r="B10" s="25">
        <v>1.0</v>
      </c>
      <c r="C10" s="26">
        <f>(67533*1.06)</f>
        <v>71584.98</v>
      </c>
      <c r="D10" s="34">
        <v>0.0</v>
      </c>
      <c r="E10" s="27">
        <f t="shared" si="1"/>
        <v>71584.98</v>
      </c>
      <c r="F10" s="27">
        <f>C10*L26</f>
        <v>6442.6482</v>
      </c>
      <c r="G10" s="27">
        <f>C10*L27</f>
        <v>1546.235568</v>
      </c>
      <c r="H10" s="27">
        <f>C10*L28</f>
        <v>415.192884</v>
      </c>
      <c r="I10" s="27">
        <f t="shared" si="2"/>
        <v>79989.05665</v>
      </c>
      <c r="J10" s="27">
        <f>C10*L29</f>
        <v>1037.98221</v>
      </c>
      <c r="K10" s="27"/>
      <c r="L10" s="27">
        <v>8000.0</v>
      </c>
      <c r="M10" s="27">
        <f t="shared" si="4"/>
        <v>35610.81554</v>
      </c>
      <c r="N10" s="32" t="s">
        <v>85</v>
      </c>
      <c r="O10" s="32" t="s">
        <v>86</v>
      </c>
    </row>
    <row r="11" ht="14.25" customHeight="1">
      <c r="A11" s="24"/>
      <c r="B11" s="25"/>
      <c r="C11" s="27">
        <v>0.0</v>
      </c>
      <c r="D11" s="27"/>
      <c r="E11" s="27">
        <f t="shared" si="1"/>
        <v>0</v>
      </c>
      <c r="F11" s="27">
        <f t="shared" ref="F11:F12" si="5">C11*L26</f>
        <v>0</v>
      </c>
      <c r="G11" s="27">
        <f t="shared" ref="G11:G12" si="6">C11*L27</f>
        <v>0</v>
      </c>
      <c r="H11" s="27">
        <f t="shared" ref="H11:H12" si="7">C11*L28</f>
        <v>0</v>
      </c>
      <c r="I11" s="27">
        <f t="shared" si="2"/>
        <v>0</v>
      </c>
      <c r="J11" s="27">
        <f>C11*L29</f>
        <v>0</v>
      </c>
      <c r="K11" s="27"/>
      <c r="L11" s="27"/>
      <c r="M11" s="27">
        <f>SUM(I11:L11)*0.1</f>
        <v>0</v>
      </c>
      <c r="N11" s="32">
        <v>0.5</v>
      </c>
      <c r="O11" s="32" t="s">
        <v>87</v>
      </c>
    </row>
    <row r="12" ht="14.25" customHeight="1">
      <c r="A12" s="24" t="s">
        <v>88</v>
      </c>
      <c r="B12" s="25"/>
      <c r="C12" s="26">
        <v>42637.0</v>
      </c>
      <c r="D12" s="27"/>
      <c r="E12" s="27">
        <f t="shared" si="1"/>
        <v>42637</v>
      </c>
      <c r="F12" s="27">
        <f t="shared" si="5"/>
        <v>920.9592</v>
      </c>
      <c r="G12" s="27">
        <f t="shared" si="6"/>
        <v>247.2946</v>
      </c>
      <c r="H12" s="27">
        <f t="shared" si="7"/>
        <v>618.2365</v>
      </c>
      <c r="I12" s="27">
        <f t="shared" si="2"/>
        <v>44423.4903</v>
      </c>
      <c r="J12" s="27">
        <f>C12*L29</f>
        <v>618.2365</v>
      </c>
      <c r="K12" s="27"/>
      <c r="L12" s="27">
        <v>800.0</v>
      </c>
      <c r="M12" s="27">
        <f>SUM(I12:L12)</f>
        <v>45841.7268</v>
      </c>
      <c r="N12" s="32" t="s">
        <v>89</v>
      </c>
      <c r="O12" s="32"/>
    </row>
    <row r="13" ht="14.25" customHeight="1">
      <c r="A13" s="24" t="s">
        <v>90</v>
      </c>
      <c r="B13" s="25">
        <v>1.0</v>
      </c>
      <c r="C13" s="26">
        <v>42637.0</v>
      </c>
      <c r="D13" s="27">
        <v>0.0</v>
      </c>
      <c r="E13" s="27">
        <f t="shared" si="1"/>
        <v>42637</v>
      </c>
      <c r="F13" s="27">
        <f>C13*L26</f>
        <v>3837.33</v>
      </c>
      <c r="G13" s="27">
        <f>C13*L27</f>
        <v>920.9592</v>
      </c>
      <c r="H13" s="27">
        <f>C13*L28</f>
        <v>247.2946</v>
      </c>
      <c r="I13" s="27">
        <f t="shared" si="2"/>
        <v>47642.5838</v>
      </c>
      <c r="J13" s="27">
        <f>C13*L29</f>
        <v>618.2365</v>
      </c>
      <c r="K13" s="27"/>
      <c r="L13" s="27">
        <v>8000.0</v>
      </c>
      <c r="M13" s="27">
        <f>SUM(I10:L10)*0.2</f>
        <v>17805.40777</v>
      </c>
      <c r="N13" s="32" t="s">
        <v>91</v>
      </c>
      <c r="O13" s="32" t="s">
        <v>92</v>
      </c>
    </row>
    <row r="14" ht="14.25" customHeight="1">
      <c r="A14" s="24" t="s">
        <v>93</v>
      </c>
      <c r="B14" s="25">
        <v>1.0</v>
      </c>
      <c r="C14" s="26">
        <f>(51437*1.045)</f>
        <v>53751.665</v>
      </c>
      <c r="D14" s="31">
        <v>3600.0</v>
      </c>
      <c r="E14" s="27">
        <f t="shared" si="1"/>
        <v>57351.665</v>
      </c>
      <c r="F14" s="27">
        <f>C14*L26</f>
        <v>4837.64985</v>
      </c>
      <c r="G14" s="27">
        <f>C14*L27</f>
        <v>1161.035964</v>
      </c>
      <c r="H14" s="27">
        <f>C14*L28</f>
        <v>311.759657</v>
      </c>
      <c r="I14" s="27">
        <f t="shared" si="2"/>
        <v>60062.11047</v>
      </c>
      <c r="J14" s="27">
        <f>C14*L29</f>
        <v>779.3991425</v>
      </c>
      <c r="K14" s="27"/>
      <c r="L14" s="27">
        <v>8000.0</v>
      </c>
      <c r="M14" s="27">
        <f>SUM(I14:L14)</f>
        <v>68841.50961</v>
      </c>
      <c r="N14" s="32" t="s">
        <v>73</v>
      </c>
      <c r="O14" s="32" t="s">
        <v>74</v>
      </c>
    </row>
    <row r="15" ht="14.25" customHeight="1">
      <c r="A15" s="24" t="s">
        <v>94</v>
      </c>
      <c r="B15" s="25">
        <v>1.0</v>
      </c>
      <c r="C15" s="26">
        <v>68965.0</v>
      </c>
      <c r="D15" s="34">
        <v>3600.0</v>
      </c>
      <c r="E15" s="27">
        <f t="shared" si="1"/>
        <v>72565</v>
      </c>
      <c r="F15" s="27">
        <f>C15*L26</f>
        <v>6206.85</v>
      </c>
      <c r="G15" s="27">
        <f>C15*L27</f>
        <v>1489.644</v>
      </c>
      <c r="H15" s="27">
        <f>C15*L28</f>
        <v>399.997</v>
      </c>
      <c r="I15" s="27">
        <f t="shared" si="2"/>
        <v>77061.491</v>
      </c>
      <c r="J15" s="27">
        <f>C15*L29</f>
        <v>999.9925</v>
      </c>
      <c r="K15" s="27"/>
      <c r="L15" s="27">
        <v>8000.0</v>
      </c>
      <c r="M15" s="27">
        <f>SUM(I15:L15)*0.1</f>
        <v>8606.14835</v>
      </c>
      <c r="N15" s="32" t="s">
        <v>95</v>
      </c>
      <c r="O15" s="32" t="s">
        <v>68</v>
      </c>
    </row>
    <row r="16" ht="14.25" customHeight="1">
      <c r="A16" s="24" t="s">
        <v>96</v>
      </c>
      <c r="B16" s="25">
        <v>1.0</v>
      </c>
      <c r="C16" s="26">
        <f>(59892*1.045)+0</f>
        <v>62587.14</v>
      </c>
      <c r="D16" s="35">
        <v>0.0</v>
      </c>
      <c r="E16" s="27">
        <f>D15+C16</f>
        <v>66187.14</v>
      </c>
      <c r="F16" s="27">
        <f>C16*L26</f>
        <v>5632.8426</v>
      </c>
      <c r="G16" s="27">
        <f>C16*L27</f>
        <v>1351.882224</v>
      </c>
      <c r="H16" s="27">
        <f>C16*L28</f>
        <v>363.005412</v>
      </c>
      <c r="I16" s="27">
        <f t="shared" si="2"/>
        <v>69934.87024</v>
      </c>
      <c r="J16" s="27">
        <f>C16*L29</f>
        <v>907.51353</v>
      </c>
      <c r="K16" s="27"/>
      <c r="L16" s="27">
        <v>8000.0</v>
      </c>
      <c r="M16" s="27">
        <f>SUM(I16:L16)*0.2</f>
        <v>15768.47675</v>
      </c>
      <c r="N16" s="32" t="s">
        <v>97</v>
      </c>
      <c r="O16" s="32" t="s">
        <v>98</v>
      </c>
    </row>
    <row r="17" ht="14.25" customHeight="1">
      <c r="A17" s="24" t="s">
        <v>99</v>
      </c>
      <c r="B17" s="36">
        <v>1.0</v>
      </c>
      <c r="C17" s="37">
        <f>64070*1.0525</f>
        <v>67433.675</v>
      </c>
      <c r="D17" s="38"/>
      <c r="E17" s="27">
        <f t="shared" ref="E17:E21" si="9">D17+C17</f>
        <v>67433.675</v>
      </c>
      <c r="F17" s="38">
        <f>C17*L26</f>
        <v>6069.03075</v>
      </c>
      <c r="G17" s="38">
        <f>C17*L27</f>
        <v>1456.56738</v>
      </c>
      <c r="H17" s="38">
        <f>C17*L28</f>
        <v>391.115315</v>
      </c>
      <c r="I17" s="38">
        <f t="shared" si="2"/>
        <v>75350.38845</v>
      </c>
      <c r="J17" s="38">
        <f>C17*L29</f>
        <v>977.7882875</v>
      </c>
      <c r="K17" s="38"/>
      <c r="L17" s="27">
        <v>8000.0</v>
      </c>
      <c r="M17" s="27">
        <f>SUM(I17:L17)</f>
        <v>84328.17673</v>
      </c>
      <c r="N17" s="32" t="s">
        <v>73</v>
      </c>
      <c r="O17" s="32" t="s">
        <v>100</v>
      </c>
    </row>
    <row r="18" ht="14.25" customHeight="1">
      <c r="B18" s="25">
        <f t="shared" ref="B18:D18" si="8">SUM(B2:B17)</f>
        <v>13</v>
      </c>
      <c r="C18" s="39">
        <f t="shared" si="8"/>
        <v>849105.69</v>
      </c>
      <c r="D18" s="39">
        <f t="shared" si="8"/>
        <v>18000</v>
      </c>
      <c r="E18" s="39">
        <f t="shared" si="9"/>
        <v>867105.69</v>
      </c>
      <c r="F18" s="39">
        <f t="shared" ref="F18:J18" si="10">SUM(F2:F17)</f>
        <v>73503.1413</v>
      </c>
      <c r="G18" s="39">
        <f t="shared" si="10"/>
        <v>17667.0183</v>
      </c>
      <c r="H18" s="39">
        <f t="shared" si="10"/>
        <v>5295.754902</v>
      </c>
      <c r="I18" s="39">
        <f t="shared" si="10"/>
        <v>945571.6045</v>
      </c>
      <c r="J18" s="39">
        <f t="shared" si="10"/>
        <v>12312.03251</v>
      </c>
      <c r="K18" s="27"/>
      <c r="L18" s="39">
        <f>B18*L31</f>
        <v>104000</v>
      </c>
      <c r="M18" s="40">
        <v>80974.0</v>
      </c>
      <c r="N18" s="15" t="s">
        <v>101</v>
      </c>
      <c r="Q18" s="28" t="s">
        <v>102</v>
      </c>
    </row>
    <row r="19" ht="14.25" customHeight="1">
      <c r="A19" s="41"/>
      <c r="B19" s="25"/>
      <c r="C19" s="27"/>
      <c r="D19" s="27"/>
      <c r="E19" s="27">
        <f t="shared" si="9"/>
        <v>0</v>
      </c>
      <c r="F19" s="27"/>
      <c r="G19" s="27"/>
      <c r="H19" s="27"/>
      <c r="I19" s="27"/>
      <c r="J19" s="27"/>
      <c r="K19" s="27"/>
      <c r="L19" s="27"/>
      <c r="M19" s="27"/>
    </row>
    <row r="20" ht="14.25" customHeight="1">
      <c r="A20" s="41" t="s">
        <v>103</v>
      </c>
      <c r="B20" s="25">
        <v>1.0</v>
      </c>
      <c r="C20" s="40">
        <v>24000.0</v>
      </c>
      <c r="D20" s="27"/>
      <c r="E20" s="27">
        <f t="shared" si="9"/>
        <v>24000</v>
      </c>
      <c r="F20" s="27"/>
      <c r="G20" s="27"/>
      <c r="H20" s="27"/>
      <c r="I20" s="27"/>
      <c r="J20" s="27">
        <f>E20*L29</f>
        <v>348</v>
      </c>
      <c r="K20" s="27">
        <f>C20*L30</f>
        <v>1488</v>
      </c>
      <c r="L20" s="27"/>
      <c r="M20" s="27">
        <f>SUM(M4:M19)</f>
        <v>460270.2044</v>
      </c>
    </row>
    <row r="21" ht="14.25" customHeight="1">
      <c r="A21" s="41" t="s">
        <v>104</v>
      </c>
      <c r="B21" s="36">
        <v>0.0</v>
      </c>
      <c r="C21" s="38">
        <v>0.0</v>
      </c>
      <c r="D21" s="38"/>
      <c r="E21" s="38">
        <f t="shared" si="9"/>
        <v>0</v>
      </c>
      <c r="F21" s="38"/>
      <c r="G21" s="38"/>
      <c r="H21" s="38"/>
      <c r="I21" s="38"/>
      <c r="J21" s="38">
        <f>E21*L29</f>
        <v>0</v>
      </c>
      <c r="K21" s="38">
        <f>C21*L30</f>
        <v>0</v>
      </c>
      <c r="L21" s="27"/>
      <c r="M21" s="27"/>
    </row>
    <row r="22" ht="14.25" customHeight="1">
      <c r="B22" s="25">
        <f>SUM(B20:B21)</f>
        <v>1</v>
      </c>
      <c r="C22" s="27">
        <f>SUM(C19:C21)</f>
        <v>24000</v>
      </c>
      <c r="D22" s="27">
        <f>SUM(D20:D21)</f>
        <v>0</v>
      </c>
      <c r="E22" s="27">
        <f>SUM(E19:E21)</f>
        <v>24000</v>
      </c>
      <c r="F22" s="27">
        <f t="shared" ref="F22:K22" si="11">SUM(F20:F21)</f>
        <v>0</v>
      </c>
      <c r="G22" s="27">
        <f t="shared" si="11"/>
        <v>0</v>
      </c>
      <c r="H22" s="27">
        <f t="shared" si="11"/>
        <v>0</v>
      </c>
      <c r="I22" s="27">
        <f t="shared" si="11"/>
        <v>0</v>
      </c>
      <c r="J22" s="27">
        <f t="shared" si="11"/>
        <v>348</v>
      </c>
      <c r="K22" s="27">
        <f t="shared" si="11"/>
        <v>1488</v>
      </c>
      <c r="L22" s="27"/>
      <c r="M22" s="27"/>
    </row>
    <row r="23" ht="14.25" customHeight="1">
      <c r="A23" s="42" t="s">
        <v>105</v>
      </c>
      <c r="B23" s="25">
        <f t="shared" ref="B23:L23" si="12">B22+B18</f>
        <v>14</v>
      </c>
      <c r="C23" s="39">
        <f t="shared" si="12"/>
        <v>873105.69</v>
      </c>
      <c r="D23" s="39">
        <f t="shared" si="12"/>
        <v>18000</v>
      </c>
      <c r="E23" s="39">
        <f t="shared" si="12"/>
        <v>891105.69</v>
      </c>
      <c r="F23" s="39">
        <f t="shared" si="12"/>
        <v>73503.1413</v>
      </c>
      <c r="G23" s="39">
        <f t="shared" si="12"/>
        <v>17667.0183</v>
      </c>
      <c r="H23" s="39">
        <f t="shared" si="12"/>
        <v>5295.754902</v>
      </c>
      <c r="I23" s="39">
        <f t="shared" si="12"/>
        <v>945571.6045</v>
      </c>
      <c r="J23" s="39">
        <f t="shared" si="12"/>
        <v>12660.03251</v>
      </c>
      <c r="K23" s="39">
        <f t="shared" si="12"/>
        <v>1488</v>
      </c>
      <c r="L23" s="39">
        <f t="shared" si="12"/>
        <v>104000</v>
      </c>
      <c r="M23" s="27"/>
      <c r="S23" s="33">
        <f t="shared" ref="S23:S24" si="13">sum(I2:L2)</f>
        <v>119925.8092</v>
      </c>
    </row>
    <row r="24" ht="14.25" customHeight="1">
      <c r="C24" s="27"/>
      <c r="D24" s="27"/>
      <c r="E24" s="27" t="s">
        <v>104</v>
      </c>
      <c r="F24" s="27"/>
      <c r="G24" s="27"/>
      <c r="H24" s="27"/>
      <c r="I24" s="27"/>
      <c r="J24" s="27"/>
      <c r="K24" s="27"/>
      <c r="L24" s="27"/>
      <c r="M24" s="27"/>
      <c r="S24" s="33">
        <f t="shared" si="13"/>
        <v>0</v>
      </c>
    </row>
    <row r="25" ht="14.25" customHeight="1">
      <c r="A25" s="41" t="s">
        <v>106</v>
      </c>
      <c r="D25" s="43"/>
      <c r="E25" s="43" t="s">
        <v>104</v>
      </c>
      <c r="F25" s="43"/>
      <c r="G25" s="43"/>
      <c r="H25" s="43"/>
      <c r="I25" s="43"/>
      <c r="J25" s="43"/>
      <c r="K25" s="43"/>
      <c r="L25" s="43"/>
    </row>
    <row r="26" ht="14.25" customHeight="1">
      <c r="A26" s="41" t="s">
        <v>107</v>
      </c>
      <c r="B26" s="41" t="s">
        <v>104</v>
      </c>
      <c r="C26" s="44">
        <f>(B23*10000)*0.014</f>
        <v>1960</v>
      </c>
      <c r="D26" s="43"/>
      <c r="E26" s="43" t="s">
        <v>108</v>
      </c>
      <c r="F26" s="27">
        <v>100.0</v>
      </c>
      <c r="G26" s="45">
        <f>E23</f>
        <v>891105.69</v>
      </c>
      <c r="J26" s="43"/>
      <c r="K26" s="43" t="s">
        <v>109</v>
      </c>
      <c r="L26" s="41">
        <v>0.09</v>
      </c>
      <c r="S26" s="33">
        <f t="shared" ref="S26:S29" si="14">sum(I5:L5)</f>
        <v>60145.30302</v>
      </c>
    </row>
    <row r="27" ht="14.25" customHeight="1">
      <c r="A27" s="41" t="s">
        <v>110</v>
      </c>
      <c r="C27" s="44">
        <f>C23*0.0065</f>
        <v>5675.186985</v>
      </c>
      <c r="E27" s="41" t="s">
        <v>111</v>
      </c>
      <c r="F27" s="41">
        <v>200.0</v>
      </c>
      <c r="G27" s="45">
        <f>F23+G23+H23+J23+K23+L23</f>
        <v>214613.947</v>
      </c>
      <c r="K27" s="41" t="s">
        <v>112</v>
      </c>
      <c r="L27" s="41">
        <v>0.0216</v>
      </c>
      <c r="S27" s="33">
        <f t="shared" si="14"/>
        <v>110784.4659</v>
      </c>
    </row>
    <row r="28" ht="14.25" customHeight="1">
      <c r="A28" s="41" t="s">
        <v>113</v>
      </c>
      <c r="C28" s="44">
        <v>25000.0</v>
      </c>
      <c r="E28" s="41" t="s">
        <v>114</v>
      </c>
      <c r="F28" s="41">
        <v>300.0</v>
      </c>
      <c r="G28" s="45">
        <f t="shared" ref="G28:G30" si="15">C30</f>
        <v>82635.18699</v>
      </c>
      <c r="K28" s="41" t="s">
        <v>115</v>
      </c>
      <c r="L28" s="41">
        <v>0.0058</v>
      </c>
      <c r="S28" s="33">
        <f t="shared" si="14"/>
        <v>68933.14258</v>
      </c>
    </row>
    <row r="29" ht="14.25" customHeight="1">
      <c r="A29" s="41" t="s">
        <v>116</v>
      </c>
      <c r="C29" s="46">
        <v>50000.0</v>
      </c>
      <c r="E29" s="41" t="s">
        <v>117</v>
      </c>
      <c r="F29" s="41">
        <v>400.0</v>
      </c>
      <c r="G29" s="45">
        <f t="shared" si="15"/>
        <v>12000</v>
      </c>
      <c r="K29" s="41" t="s">
        <v>118</v>
      </c>
      <c r="L29" s="41">
        <v>0.0145</v>
      </c>
      <c r="S29" s="33">
        <f t="shared" si="14"/>
        <v>63894.26335</v>
      </c>
    </row>
    <row r="30" ht="14.25" customHeight="1">
      <c r="A30" s="42" t="s">
        <v>119</v>
      </c>
      <c r="C30" s="45">
        <f>SUM(C26:C29)</f>
        <v>82635.18699</v>
      </c>
      <c r="E30" s="47" t="s">
        <v>120</v>
      </c>
      <c r="F30" s="47">
        <v>500.0</v>
      </c>
      <c r="G30" s="48">
        <f t="shared" si="15"/>
        <v>5800</v>
      </c>
      <c r="K30" s="41" t="s">
        <v>121</v>
      </c>
      <c r="L30" s="41">
        <v>0.062</v>
      </c>
      <c r="S30" s="15">
        <f t="shared" ref="S30:S31" si="16">sum(I9:L9)*0.6</f>
        <v>40082.42321</v>
      </c>
    </row>
    <row r="31" ht="14.25" customHeight="1">
      <c r="A31" s="42" t="s">
        <v>122</v>
      </c>
      <c r="C31" s="45">
        <v>12000.0</v>
      </c>
      <c r="K31" s="41" t="s">
        <v>123</v>
      </c>
      <c r="L31" s="41">
        <f>7855+49+96</f>
        <v>8000</v>
      </c>
      <c r="S31" s="15">
        <f t="shared" si="16"/>
        <v>53416.22332</v>
      </c>
    </row>
    <row r="32" ht="14.25" customHeight="1">
      <c r="A32" s="42" t="s">
        <v>124</v>
      </c>
      <c r="C32" s="45">
        <v>5800.0</v>
      </c>
      <c r="E32" s="42" t="s">
        <v>125</v>
      </c>
      <c r="F32" s="42"/>
      <c r="G32" s="49">
        <f>SUM(G26:G31)</f>
        <v>1206154.824</v>
      </c>
      <c r="K32" s="41" t="s">
        <v>126</v>
      </c>
      <c r="L32" s="41">
        <v>0.0065</v>
      </c>
      <c r="S32" s="33">
        <f t="shared" ref="S32:S33" si="17">sum(I11:L11)</f>
        <v>0</v>
      </c>
    </row>
    <row r="33" ht="14.25" customHeight="1">
      <c r="F33" s="15" t="s">
        <v>127</v>
      </c>
      <c r="G33" s="15">
        <v>110552.0</v>
      </c>
      <c r="K33" s="41" t="s">
        <v>128</v>
      </c>
      <c r="L33" s="41">
        <v>0.014</v>
      </c>
      <c r="S33" s="33">
        <f t="shared" si="17"/>
        <v>45841.7268</v>
      </c>
    </row>
    <row r="34" ht="14.25" customHeight="1">
      <c r="F34" s="15" t="s">
        <v>129</v>
      </c>
      <c r="G34" s="15">
        <v>-90000.0</v>
      </c>
      <c r="S34" s="15">
        <f>sum(I13:L13)*0.8</f>
        <v>45008.65624</v>
      </c>
    </row>
    <row r="35" ht="14.25" customHeight="1">
      <c r="F35" s="15" t="s">
        <v>130</v>
      </c>
      <c r="G35" s="15">
        <v>-434389.0</v>
      </c>
    </row>
    <row r="36" ht="14.25" customHeight="1">
      <c r="G36" s="50">
        <f>sum(G32:G35)</f>
        <v>792317.824</v>
      </c>
      <c r="S36" s="33">
        <f t="shared" ref="S36:S37" si="18">sum(I15:L15)</f>
        <v>86061.4835</v>
      </c>
    </row>
    <row r="37" ht="14.25" customHeight="1">
      <c r="G37" s="15">
        <v>71123.0</v>
      </c>
      <c r="S37" s="33">
        <f t="shared" si="18"/>
        <v>78842.38377</v>
      </c>
    </row>
    <row r="38" ht="14.25" customHeight="1">
      <c r="G38" s="15">
        <f>G37/5</f>
        <v>14224.6</v>
      </c>
    </row>
    <row r="39" ht="14.25" customHeight="1">
      <c r="R39" s="15" t="s">
        <v>131</v>
      </c>
      <c r="S39" s="33">
        <f>SUM(S23:S38)</f>
        <v>772935.8809</v>
      </c>
    </row>
    <row r="40" ht="14.25" customHeight="1">
      <c r="R40" s="15" t="s">
        <v>132</v>
      </c>
      <c r="S40" s="15">
        <v>20000.0</v>
      </c>
    </row>
    <row r="41" ht="14.25" customHeight="1">
      <c r="R41" s="15" t="s">
        <v>133</v>
      </c>
      <c r="S41" s="15">
        <v>7500.0</v>
      </c>
    </row>
    <row r="42" ht="14.25" customHeight="1">
      <c r="R42" s="15" t="s">
        <v>134</v>
      </c>
      <c r="S42" s="15">
        <v>3600.0</v>
      </c>
    </row>
    <row r="43" ht="14.25" customHeight="1"/>
    <row r="44" ht="14.25" customHeight="1">
      <c r="R44" s="15" t="s">
        <v>135</v>
      </c>
      <c r="S44" s="33">
        <f>SUM(S39:S43)</f>
        <v>804035.8809</v>
      </c>
    </row>
    <row r="45" ht="14.25" customHeight="1">
      <c r="R45" s="15" t="s">
        <v>136</v>
      </c>
      <c r="S45" s="15">
        <f>S44/10</f>
        <v>80403.58809</v>
      </c>
      <c r="U45" s="15" t="s">
        <v>137</v>
      </c>
      <c r="W45" s="15">
        <f>S45*0.2</f>
        <v>16080.71762</v>
      </c>
    </row>
    <row r="46" ht="14.25" customHeight="1">
      <c r="R46" s="15" t="s">
        <v>138</v>
      </c>
      <c r="S46" s="15">
        <f>S45/180</f>
        <v>446.6866005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3.75"/>
    <col customWidth="1" min="3" max="3" width="8.88"/>
    <col customWidth="1" min="4" max="4" width="7.0"/>
    <col customWidth="1" min="5" max="5" width="8.75"/>
    <col customWidth="1" min="6" max="6" width="9.38"/>
    <col customWidth="1" min="7" max="7" width="7.88"/>
    <col customWidth="1" min="8" max="8" width="6.75"/>
    <col customWidth="1" min="9" max="9" width="9.63"/>
    <col customWidth="1" min="10" max="10" width="7.0"/>
    <col customWidth="1" min="11" max="11" width="7.38"/>
    <col customWidth="1" min="12" max="12" width="8.0"/>
    <col customWidth="1" min="13" max="17" width="7.63"/>
    <col customWidth="1" min="18" max="18" width="9.0"/>
    <col customWidth="1" min="19" max="19" width="9.5"/>
    <col customWidth="1" min="20" max="26" width="7.63"/>
  </cols>
  <sheetData>
    <row r="1" ht="14.25" customHeight="1">
      <c r="A1" s="22" t="s">
        <v>47</v>
      </c>
      <c r="B1" s="22" t="s">
        <v>48</v>
      </c>
      <c r="C1" s="22" t="s">
        <v>49</v>
      </c>
      <c r="D1" s="23" t="s">
        <v>139</v>
      </c>
      <c r="E1" s="23" t="s">
        <v>51</v>
      </c>
      <c r="F1" s="23" t="s">
        <v>56</v>
      </c>
      <c r="G1" s="23" t="s">
        <v>57</v>
      </c>
      <c r="H1" s="23" t="s">
        <v>140</v>
      </c>
      <c r="I1" s="23" t="s">
        <v>58</v>
      </c>
      <c r="J1" s="22"/>
      <c r="K1" s="22"/>
      <c r="L1" s="51" t="s">
        <v>104</v>
      </c>
      <c r="M1" s="22"/>
      <c r="N1" s="22"/>
      <c r="O1" s="22"/>
      <c r="P1" s="22"/>
      <c r="Q1" s="22"/>
      <c r="R1" s="22" t="s">
        <v>141</v>
      </c>
      <c r="S1" s="22" t="s">
        <v>142</v>
      </c>
      <c r="T1" s="22"/>
      <c r="U1" s="22"/>
      <c r="V1" s="22"/>
      <c r="W1" s="22"/>
      <c r="X1" s="22"/>
      <c r="Y1" s="22"/>
      <c r="Z1" s="22"/>
    </row>
    <row r="2" ht="14.25" customHeight="1">
      <c r="A2" s="52" t="s">
        <v>143</v>
      </c>
      <c r="B2" s="25">
        <v>1.0</v>
      </c>
      <c r="C2" s="53">
        <v>111552.0</v>
      </c>
      <c r="D2" s="27">
        <v>0.0</v>
      </c>
      <c r="E2" s="27">
        <f t="shared" ref="E2:E20" si="1">D2+C2</f>
        <v>111552</v>
      </c>
      <c r="F2" s="27">
        <f>E2*L29</f>
        <v>1617.504</v>
      </c>
      <c r="G2" s="27">
        <f>E2*L30</f>
        <v>6916.224</v>
      </c>
      <c r="H2" s="27">
        <f>E2*L32</f>
        <v>14222.88</v>
      </c>
      <c r="I2" s="27">
        <v>8000.0</v>
      </c>
      <c r="J2" s="27" t="s">
        <v>104</v>
      </c>
      <c r="K2" s="27"/>
      <c r="L2" s="27">
        <f>SUM(E2:K2)</f>
        <v>142308.608</v>
      </c>
      <c r="M2" s="27">
        <f>10000*0.014</f>
        <v>140</v>
      </c>
      <c r="N2" s="15">
        <f>L2*0.00656</f>
        <v>933.5444685</v>
      </c>
      <c r="O2" s="54">
        <f>SUM(L2:N2)</f>
        <v>143382.1525</v>
      </c>
      <c r="R2" s="33">
        <f t="shared" ref="R2:R4" si="2">SUM(E2:I2)</f>
        <v>142308.608</v>
      </c>
    </row>
    <row r="3" ht="14.25" customHeight="1">
      <c r="A3" s="52" t="s">
        <v>144</v>
      </c>
      <c r="B3" s="25">
        <v>1.0</v>
      </c>
      <c r="C3" s="53">
        <v>46432.0</v>
      </c>
      <c r="D3" s="40">
        <v>0.0</v>
      </c>
      <c r="E3" s="27">
        <f t="shared" si="1"/>
        <v>46432</v>
      </c>
      <c r="F3" s="27">
        <f>E3*L29</f>
        <v>673.264</v>
      </c>
      <c r="G3" s="27">
        <f>E3*L30</f>
        <v>2878.784</v>
      </c>
      <c r="H3" s="27">
        <f>E3*L32</f>
        <v>5920.08</v>
      </c>
      <c r="I3" s="27">
        <v>8000.0</v>
      </c>
      <c r="J3" s="27" t="s">
        <v>104</v>
      </c>
      <c r="K3" s="27"/>
      <c r="L3" s="27"/>
      <c r="M3" s="27"/>
      <c r="N3" s="55">
        <f t="shared" ref="N3:N11" si="3">C3/180</f>
        <v>257.9555556</v>
      </c>
      <c r="O3" s="55">
        <f t="shared" ref="O3:O11" si="4">N3*2</f>
        <v>515.9111111</v>
      </c>
      <c r="R3" s="33">
        <f t="shared" si="2"/>
        <v>63904.128</v>
      </c>
    </row>
    <row r="4" ht="14.25" customHeight="1">
      <c r="A4" s="56" t="s">
        <v>145</v>
      </c>
      <c r="B4" s="57">
        <v>1.0</v>
      </c>
      <c r="C4" s="58">
        <f>18144*1.045</f>
        <v>18960.48</v>
      </c>
      <c r="D4" s="27">
        <v>0.0</v>
      </c>
      <c r="E4" s="27">
        <f t="shared" si="1"/>
        <v>18960.48</v>
      </c>
      <c r="F4" s="27">
        <f>E4*L29</f>
        <v>274.92696</v>
      </c>
      <c r="G4" s="27">
        <f>E4*L30</f>
        <v>1175.54976</v>
      </c>
      <c r="H4" s="27">
        <f>E4*L32</f>
        <v>2417.4612</v>
      </c>
      <c r="I4" s="27">
        <f>8000*0.6</f>
        <v>4800</v>
      </c>
      <c r="J4" s="27" t="s">
        <v>104</v>
      </c>
      <c r="K4" s="27"/>
      <c r="L4" s="27"/>
      <c r="M4" s="27"/>
      <c r="N4" s="55">
        <f t="shared" si="3"/>
        <v>105.336</v>
      </c>
      <c r="O4" s="55">
        <f t="shared" si="4"/>
        <v>210.672</v>
      </c>
      <c r="R4" s="33">
        <f t="shared" si="2"/>
        <v>27628.41792</v>
      </c>
    </row>
    <row r="5" ht="14.25" customHeight="1">
      <c r="A5" s="52" t="s">
        <v>146</v>
      </c>
      <c r="B5" s="25">
        <v>1.0</v>
      </c>
      <c r="C5" s="59">
        <v>53000.0</v>
      </c>
      <c r="D5" s="60">
        <v>15000.0</v>
      </c>
      <c r="E5" s="27">
        <f t="shared" si="1"/>
        <v>68000</v>
      </c>
      <c r="F5" s="27">
        <f>E5*L29</f>
        <v>986</v>
      </c>
      <c r="G5" s="27">
        <f>E5*L30</f>
        <v>4216</v>
      </c>
      <c r="H5" s="27">
        <f>E5*L32</f>
        <v>8670</v>
      </c>
      <c r="I5" s="27">
        <v>8000.0</v>
      </c>
      <c r="J5" s="27" t="s">
        <v>104</v>
      </c>
      <c r="K5" s="27"/>
      <c r="L5" s="27"/>
      <c r="M5" s="27"/>
      <c r="N5" s="55">
        <f t="shared" si="3"/>
        <v>294.4444444</v>
      </c>
      <c r="O5" s="55">
        <f t="shared" si="4"/>
        <v>588.8888889</v>
      </c>
      <c r="S5" s="33">
        <f>sum(E5:I5)</f>
        <v>89872</v>
      </c>
    </row>
    <row r="6" ht="14.25" customHeight="1">
      <c r="A6" s="52" t="s">
        <v>147</v>
      </c>
      <c r="B6" s="25">
        <v>1.0</v>
      </c>
      <c r="C6" s="53">
        <v>50044.0</v>
      </c>
      <c r="D6" s="40">
        <v>0.0</v>
      </c>
      <c r="E6" s="27">
        <f t="shared" si="1"/>
        <v>50044</v>
      </c>
      <c r="F6" s="27">
        <f>E6*L29</f>
        <v>725.638</v>
      </c>
      <c r="G6" s="27">
        <f>E6*L30</f>
        <v>3102.728</v>
      </c>
      <c r="H6" s="27">
        <f>E6*L32</f>
        <v>6380.61</v>
      </c>
      <c r="I6" s="27">
        <v>8000.0</v>
      </c>
      <c r="J6" s="27" t="s">
        <v>104</v>
      </c>
      <c r="K6" s="27"/>
      <c r="L6" s="27"/>
      <c r="M6" s="27"/>
      <c r="N6" s="55">
        <f t="shared" si="3"/>
        <v>278.0222222</v>
      </c>
      <c r="O6" s="55">
        <f t="shared" si="4"/>
        <v>556.0444444</v>
      </c>
      <c r="R6" s="33">
        <f t="shared" ref="R6:R8" si="5">SUM(E6:I6)</f>
        <v>68252.976</v>
      </c>
    </row>
    <row r="7" ht="14.25" customHeight="1">
      <c r="A7" s="52" t="s">
        <v>148</v>
      </c>
      <c r="B7" s="25">
        <v>1.0</v>
      </c>
      <c r="C7" s="53">
        <v>38285.0</v>
      </c>
      <c r="D7" s="27">
        <v>0.0</v>
      </c>
      <c r="E7" s="27">
        <f t="shared" si="1"/>
        <v>38285</v>
      </c>
      <c r="F7" s="27">
        <f>E7*L29</f>
        <v>555.1325</v>
      </c>
      <c r="G7" s="27">
        <f>E7*L30</f>
        <v>2373.67</v>
      </c>
      <c r="H7" s="27">
        <f>E7*L32</f>
        <v>4881.3375</v>
      </c>
      <c r="I7" s="27">
        <v>8000.0</v>
      </c>
      <c r="J7" s="27" t="s">
        <v>104</v>
      </c>
      <c r="K7" s="27"/>
      <c r="L7" s="27"/>
      <c r="M7" s="27"/>
      <c r="N7" s="55">
        <f t="shared" si="3"/>
        <v>212.6944444</v>
      </c>
      <c r="O7" s="55">
        <f t="shared" si="4"/>
        <v>425.3888889</v>
      </c>
      <c r="R7" s="33">
        <f t="shared" si="5"/>
        <v>54095.14</v>
      </c>
    </row>
    <row r="8" ht="14.25" customHeight="1">
      <c r="A8" s="52" t="s">
        <v>149</v>
      </c>
      <c r="B8" s="57">
        <v>0.2</v>
      </c>
      <c r="C8" s="53">
        <v>6496.0</v>
      </c>
      <c r="D8" s="27">
        <v>0.0</v>
      </c>
      <c r="E8" s="27">
        <f t="shared" si="1"/>
        <v>6496</v>
      </c>
      <c r="F8" s="27">
        <f t="shared" ref="F8:F9" si="6">E8*L29</f>
        <v>94.192</v>
      </c>
      <c r="G8" s="27">
        <f>E8*L30</f>
        <v>402.752</v>
      </c>
      <c r="H8" s="27">
        <f t="shared" ref="H8:H9" si="7">E8*L32</f>
        <v>828.24</v>
      </c>
      <c r="I8" s="27">
        <v>0.0</v>
      </c>
      <c r="J8" s="27" t="s">
        <v>104</v>
      </c>
      <c r="K8" s="27"/>
      <c r="L8" s="27"/>
      <c r="M8" s="27"/>
      <c r="N8" s="55">
        <f t="shared" si="3"/>
        <v>36.08888889</v>
      </c>
      <c r="O8" s="55">
        <f t="shared" si="4"/>
        <v>72.17777778</v>
      </c>
      <c r="R8" s="33">
        <f t="shared" si="5"/>
        <v>7821.184</v>
      </c>
    </row>
    <row r="9" ht="14.25" customHeight="1">
      <c r="A9" s="52" t="s">
        <v>150</v>
      </c>
      <c r="B9" s="57">
        <v>0.7</v>
      </c>
      <c r="C9" s="53">
        <v>32777.0</v>
      </c>
      <c r="D9" s="27">
        <v>0.0</v>
      </c>
      <c r="E9" s="27">
        <f t="shared" si="1"/>
        <v>32777</v>
      </c>
      <c r="F9" s="27">
        <f t="shared" si="6"/>
        <v>2032.174</v>
      </c>
      <c r="G9" s="27">
        <f>E9*L30</f>
        <v>2032.174</v>
      </c>
      <c r="H9" s="27">
        <f t="shared" si="7"/>
        <v>213.0505</v>
      </c>
      <c r="I9" s="27">
        <v>4000.0</v>
      </c>
      <c r="J9" s="27" t="s">
        <v>104</v>
      </c>
      <c r="K9" s="27"/>
      <c r="L9" s="27"/>
      <c r="M9" s="27"/>
      <c r="N9" s="55">
        <f t="shared" si="3"/>
        <v>182.0944444</v>
      </c>
      <c r="O9" s="55">
        <f t="shared" si="4"/>
        <v>364.1888889</v>
      </c>
      <c r="S9" s="33">
        <f t="shared" ref="S9:S10" si="8">sum(E9:I9)</f>
        <v>41054.3985</v>
      </c>
    </row>
    <row r="10" ht="14.25" customHeight="1">
      <c r="A10" s="52" t="s">
        <v>151</v>
      </c>
      <c r="B10" s="25">
        <v>0.4</v>
      </c>
      <c r="C10" s="53">
        <v>13509.0</v>
      </c>
      <c r="D10" s="27">
        <v>0.0</v>
      </c>
      <c r="E10" s="27">
        <f t="shared" si="1"/>
        <v>13509</v>
      </c>
      <c r="F10" s="27">
        <f>C10*L29</f>
        <v>195.8805</v>
      </c>
      <c r="G10" s="27">
        <f>C10*L30</f>
        <v>837.558</v>
      </c>
      <c r="H10" s="27">
        <f>C10*L32</f>
        <v>1722.3975</v>
      </c>
      <c r="I10" s="27">
        <v>8000.0</v>
      </c>
      <c r="J10" s="27" t="s">
        <v>104</v>
      </c>
      <c r="K10" s="27"/>
      <c r="L10" s="27"/>
      <c r="M10" s="27"/>
      <c r="N10" s="55">
        <f t="shared" si="3"/>
        <v>75.05</v>
      </c>
      <c r="O10" s="55">
        <f t="shared" si="4"/>
        <v>150.1</v>
      </c>
      <c r="S10" s="33">
        <f t="shared" si="8"/>
        <v>24264.836</v>
      </c>
    </row>
    <row r="11" ht="14.25" customHeight="1">
      <c r="A11" s="61" t="s">
        <v>152</v>
      </c>
      <c r="B11" s="25">
        <v>1.0</v>
      </c>
      <c r="C11" s="53">
        <v>36817.0</v>
      </c>
      <c r="D11" s="27">
        <v>0.0</v>
      </c>
      <c r="E11" s="27">
        <f t="shared" si="1"/>
        <v>36817</v>
      </c>
      <c r="F11" s="27">
        <f>C11*L29</f>
        <v>533.8465</v>
      </c>
      <c r="G11" s="27">
        <f>C11*L30</f>
        <v>2282.654</v>
      </c>
      <c r="H11" s="27">
        <f>C11*L32</f>
        <v>4694.1675</v>
      </c>
      <c r="I11" s="27">
        <v>8000.0</v>
      </c>
      <c r="J11" s="27">
        <f>SUM(E11:I11)</f>
        <v>52327.668</v>
      </c>
      <c r="K11" s="27"/>
      <c r="L11" s="27"/>
      <c r="M11" s="27"/>
      <c r="N11" s="55">
        <f t="shared" si="3"/>
        <v>204.5388889</v>
      </c>
      <c r="O11" s="55">
        <f t="shared" si="4"/>
        <v>409.0777778</v>
      </c>
      <c r="R11" s="33">
        <f>SUM(E11:I11)</f>
        <v>52327.668</v>
      </c>
    </row>
    <row r="12" ht="14.25" customHeight="1">
      <c r="A12" s="62" t="s">
        <v>153</v>
      </c>
      <c r="B12" s="63">
        <f t="shared" ref="B12:D12" si="9">SUM(B2:B11)</f>
        <v>8.3</v>
      </c>
      <c r="C12" s="64">
        <f t="shared" si="9"/>
        <v>407872.48</v>
      </c>
      <c r="D12" s="64">
        <f t="shared" si="9"/>
        <v>15000</v>
      </c>
      <c r="E12" s="64">
        <f t="shared" si="1"/>
        <v>422872.48</v>
      </c>
      <c r="F12" s="64">
        <f t="shared" ref="F12:H12" si="10">SUM(F2:F11)</f>
        <v>7688.55846</v>
      </c>
      <c r="G12" s="64">
        <f t="shared" si="10"/>
        <v>26218.09376</v>
      </c>
      <c r="H12" s="64">
        <f t="shared" si="10"/>
        <v>49950.2242</v>
      </c>
      <c r="I12" s="64">
        <f>B12*L31</f>
        <v>66400</v>
      </c>
      <c r="J12" s="64" t="s">
        <v>104</v>
      </c>
      <c r="K12" s="64"/>
      <c r="L12" s="27" t="s">
        <v>104</v>
      </c>
      <c r="M12" s="27"/>
    </row>
    <row r="13" ht="14.25" customHeight="1">
      <c r="A13" s="65" t="s">
        <v>104</v>
      </c>
      <c r="B13" s="25">
        <v>0.0</v>
      </c>
      <c r="C13" s="27">
        <v>0.0</v>
      </c>
      <c r="D13" s="27">
        <v>0.0</v>
      </c>
      <c r="E13" s="27">
        <f t="shared" si="1"/>
        <v>0</v>
      </c>
      <c r="F13" s="27">
        <v>0.0</v>
      </c>
      <c r="G13" s="27">
        <v>0.0</v>
      </c>
      <c r="H13" s="27">
        <f>C13*L28</f>
        <v>0</v>
      </c>
      <c r="I13" s="27">
        <f>C13+F13+G13+H13</f>
        <v>0</v>
      </c>
      <c r="J13" s="27">
        <f>C13*L29</f>
        <v>0</v>
      </c>
      <c r="K13" s="27"/>
      <c r="L13" s="27"/>
      <c r="M13" s="27"/>
      <c r="R13" s="33">
        <f>SUM(E13:I13)</f>
        <v>0</v>
      </c>
    </row>
    <row r="14" ht="14.25" customHeight="1">
      <c r="A14" s="52" t="s">
        <v>154</v>
      </c>
      <c r="B14" s="25">
        <v>0.8</v>
      </c>
      <c r="C14" s="53">
        <v>73183.0</v>
      </c>
      <c r="D14" s="27">
        <v>0.0</v>
      </c>
      <c r="E14" s="27">
        <f t="shared" si="1"/>
        <v>73183</v>
      </c>
      <c r="F14" s="27">
        <v>0.0</v>
      </c>
      <c r="G14" s="27">
        <v>0.0</v>
      </c>
      <c r="H14" s="27">
        <v>0.0</v>
      </c>
      <c r="I14" s="27">
        <v>0.0</v>
      </c>
      <c r="J14" s="27">
        <v>0.0</v>
      </c>
      <c r="K14" s="27"/>
      <c r="L14" s="27"/>
      <c r="M14" s="27"/>
      <c r="S14" s="33">
        <f>E14</f>
        <v>73183</v>
      </c>
    </row>
    <row r="15" ht="14.25" customHeight="1">
      <c r="A15" s="52" t="s">
        <v>155</v>
      </c>
      <c r="B15" s="66">
        <v>1.0</v>
      </c>
      <c r="C15" s="53">
        <v>82996.0</v>
      </c>
      <c r="D15" s="27"/>
      <c r="E15" s="27">
        <f t="shared" si="1"/>
        <v>82996</v>
      </c>
      <c r="F15" s="27">
        <v>0.0</v>
      </c>
      <c r="G15" s="27">
        <v>0.0</v>
      </c>
      <c r="H15" s="27">
        <v>0.0</v>
      </c>
      <c r="I15" s="27">
        <v>0.0</v>
      </c>
      <c r="J15" s="27">
        <v>0.0</v>
      </c>
      <c r="K15" s="27"/>
      <c r="L15" s="27"/>
      <c r="M15" s="27"/>
      <c r="N15" s="15">
        <f>52139/24</f>
        <v>2172.458333</v>
      </c>
      <c r="O15" s="15">
        <f>N15*35</f>
        <v>76036.04167</v>
      </c>
      <c r="R15" s="33">
        <f>SUM(E15:I15)</f>
        <v>82996</v>
      </c>
    </row>
    <row r="16" ht="14.25" customHeight="1">
      <c r="A16" s="52" t="s">
        <v>156</v>
      </c>
      <c r="B16" s="25">
        <v>1.0</v>
      </c>
      <c r="C16" s="53">
        <v>85253.0</v>
      </c>
      <c r="D16" s="59">
        <v>1500.0</v>
      </c>
      <c r="E16" s="27">
        <f t="shared" si="1"/>
        <v>86753</v>
      </c>
      <c r="F16" s="27">
        <v>0.0</v>
      </c>
      <c r="G16" s="27">
        <v>0.0</v>
      </c>
      <c r="H16" s="27">
        <v>0.0</v>
      </c>
      <c r="I16" s="27">
        <v>0.0</v>
      </c>
      <c r="J16" s="27">
        <v>0.0</v>
      </c>
      <c r="K16" s="27"/>
      <c r="L16" s="27"/>
      <c r="M16" s="27"/>
      <c r="S16" s="33">
        <f>E16</f>
        <v>86753</v>
      </c>
    </row>
    <row r="17" ht="14.25" customHeight="1">
      <c r="A17" s="67" t="s">
        <v>157</v>
      </c>
      <c r="B17" s="57">
        <v>0.2</v>
      </c>
      <c r="C17" s="53">
        <v>18083.0</v>
      </c>
      <c r="D17" s="68">
        <v>0.0</v>
      </c>
      <c r="E17" s="27">
        <f t="shared" si="1"/>
        <v>18083</v>
      </c>
      <c r="F17" s="27">
        <v>0.0</v>
      </c>
      <c r="G17" s="27">
        <v>0.0</v>
      </c>
      <c r="H17" s="27">
        <v>0.0</v>
      </c>
      <c r="I17" s="27">
        <v>0.0</v>
      </c>
      <c r="J17" s="27">
        <v>0.0</v>
      </c>
      <c r="K17" s="38"/>
      <c r="L17" s="38"/>
      <c r="M17" s="27"/>
      <c r="R17" s="69">
        <v>20000.0</v>
      </c>
      <c r="S17" s="35">
        <v>13000.0</v>
      </c>
    </row>
    <row r="18" ht="14.25" customHeight="1">
      <c r="A18" s="52"/>
      <c r="B18" s="25">
        <v>0.2</v>
      </c>
      <c r="C18" s="27"/>
      <c r="D18" s="27">
        <v>0.0</v>
      </c>
      <c r="E18" s="27">
        <f t="shared" si="1"/>
        <v>0</v>
      </c>
      <c r="F18" s="27">
        <v>0.0</v>
      </c>
      <c r="G18" s="27">
        <v>0.0</v>
      </c>
      <c r="H18" s="27">
        <v>0.0</v>
      </c>
      <c r="I18" s="27">
        <v>0.0</v>
      </c>
      <c r="J18" s="27">
        <v>0.0</v>
      </c>
      <c r="K18" s="27"/>
      <c r="L18" s="27">
        <v>0.0</v>
      </c>
      <c r="M18" s="27"/>
      <c r="R18" s="33">
        <f t="shared" ref="R18:R21" si="11">SUM(E18:I18)</f>
        <v>0</v>
      </c>
    </row>
    <row r="19" ht="14.25" customHeight="1">
      <c r="A19" s="52" t="s">
        <v>158</v>
      </c>
      <c r="B19" s="25">
        <v>1.0</v>
      </c>
      <c r="C19" s="53">
        <v>81374.0</v>
      </c>
      <c r="D19" s="27"/>
      <c r="E19" s="27">
        <f t="shared" si="1"/>
        <v>81374</v>
      </c>
      <c r="F19" s="27"/>
      <c r="G19" s="27"/>
      <c r="H19" s="27"/>
      <c r="I19" s="27"/>
      <c r="J19" s="27"/>
      <c r="K19" s="27"/>
      <c r="L19" s="27"/>
      <c r="M19" s="27"/>
      <c r="R19" s="33">
        <f t="shared" si="11"/>
        <v>81374</v>
      </c>
    </row>
    <row r="20" ht="14.25" customHeight="1">
      <c r="A20" s="41" t="s">
        <v>104</v>
      </c>
      <c r="B20" s="36">
        <v>0.0</v>
      </c>
      <c r="C20" s="38">
        <v>0.0</v>
      </c>
      <c r="D20" s="38"/>
      <c r="E20" s="38">
        <f t="shared" si="1"/>
        <v>0</v>
      </c>
      <c r="F20" s="38"/>
      <c r="G20" s="38"/>
      <c r="H20" s="38"/>
      <c r="I20" s="38"/>
      <c r="J20" s="38">
        <f>E20*L29</f>
        <v>0</v>
      </c>
      <c r="K20" s="38">
        <f>C20*L30</f>
        <v>0</v>
      </c>
      <c r="L20" s="27"/>
      <c r="M20" s="27"/>
      <c r="R20" s="33">
        <f t="shared" si="11"/>
        <v>0</v>
      </c>
    </row>
    <row r="21" ht="14.25" customHeight="1">
      <c r="B21" s="25">
        <f t="shared" ref="B21:C21" si="12">SUM(B20)</f>
        <v>0</v>
      </c>
      <c r="C21" s="27">
        <f t="shared" si="12"/>
        <v>0</v>
      </c>
      <c r="D21" s="27">
        <f>SUM(D13:D20)</f>
        <v>1500</v>
      </c>
      <c r="E21" s="27">
        <f t="shared" ref="E21:K21" si="13">SUM(E20)</f>
        <v>0</v>
      </c>
      <c r="F21" s="27">
        <f t="shared" si="13"/>
        <v>0</v>
      </c>
      <c r="G21" s="27">
        <f t="shared" si="13"/>
        <v>0</v>
      </c>
      <c r="H21" s="27">
        <f t="shared" si="13"/>
        <v>0</v>
      </c>
      <c r="I21" s="27">
        <f t="shared" si="13"/>
        <v>0</v>
      </c>
      <c r="J21" s="27">
        <f t="shared" si="13"/>
        <v>0</v>
      </c>
      <c r="K21" s="27">
        <f t="shared" si="13"/>
        <v>0</v>
      </c>
      <c r="L21" s="27"/>
      <c r="M21" s="27"/>
      <c r="R21" s="33">
        <f t="shared" si="11"/>
        <v>0</v>
      </c>
    </row>
    <row r="22" ht="14.25" customHeight="1">
      <c r="A22" s="42" t="s">
        <v>159</v>
      </c>
      <c r="B22" s="25">
        <f>B21+B18</f>
        <v>0.2</v>
      </c>
      <c r="C22" s="39">
        <f>SUM(C14:C20)</f>
        <v>340889</v>
      </c>
      <c r="D22" s="39">
        <f>D21+D18</f>
        <v>1500</v>
      </c>
      <c r="E22" s="39">
        <f>SUM(E14:E20)+5000</f>
        <v>347389</v>
      </c>
      <c r="F22" s="39">
        <f t="shared" ref="F22:L22" si="14">F21+F18</f>
        <v>0</v>
      </c>
      <c r="G22" s="39">
        <f t="shared" si="14"/>
        <v>0</v>
      </c>
      <c r="H22" s="39">
        <f t="shared" si="14"/>
        <v>0</v>
      </c>
      <c r="I22" s="39">
        <f t="shared" si="14"/>
        <v>0</v>
      </c>
      <c r="J22" s="39">
        <f t="shared" si="14"/>
        <v>0</v>
      </c>
      <c r="K22" s="39">
        <f t="shared" si="14"/>
        <v>0</v>
      </c>
      <c r="L22" s="39">
        <f t="shared" si="14"/>
        <v>0</v>
      </c>
      <c r="M22" s="27"/>
      <c r="R22" s="15">
        <f t="shared" ref="R22:R23" si="15">G29*0.67</f>
        <v>1742</v>
      </c>
      <c r="S22" s="15">
        <f t="shared" ref="S22:S23" si="16">G29*0.33</f>
        <v>858</v>
      </c>
    </row>
    <row r="23" ht="14.25" customHeight="1">
      <c r="A23" s="42"/>
      <c r="B23" s="2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7"/>
      <c r="R23" s="15">
        <f t="shared" si="15"/>
        <v>2412</v>
      </c>
      <c r="S23" s="15">
        <f t="shared" si="16"/>
        <v>1188</v>
      </c>
    </row>
    <row r="24" ht="14.25" customHeight="1">
      <c r="C24" s="27"/>
      <c r="D24" s="27"/>
      <c r="E24" s="27" t="s">
        <v>104</v>
      </c>
      <c r="F24" s="27"/>
      <c r="G24" s="27"/>
      <c r="H24" s="27"/>
      <c r="I24" s="27"/>
      <c r="J24" s="27"/>
      <c r="K24" s="27"/>
      <c r="L24" s="27"/>
      <c r="M24" s="27"/>
    </row>
    <row r="25" ht="14.25" customHeight="1">
      <c r="A25" s="41" t="s">
        <v>160</v>
      </c>
      <c r="D25" s="43"/>
      <c r="E25" s="43" t="s">
        <v>104</v>
      </c>
      <c r="F25" s="43"/>
      <c r="G25" s="43"/>
      <c r="H25" s="43"/>
      <c r="I25" s="43"/>
      <c r="J25" s="43"/>
      <c r="K25" s="43"/>
      <c r="L25" s="43"/>
    </row>
    <row r="26" ht="14.25" customHeight="1">
      <c r="A26" s="41" t="s">
        <v>107</v>
      </c>
      <c r="B26" s="41" t="s">
        <v>104</v>
      </c>
      <c r="C26" s="44">
        <f>(B12*10000)*0.014</f>
        <v>1162</v>
      </c>
      <c r="D26" s="43"/>
      <c r="E26" s="43" t="s">
        <v>108</v>
      </c>
      <c r="F26" s="27">
        <v>100.0</v>
      </c>
      <c r="G26" s="45">
        <f>C12+D12</f>
        <v>422872.48</v>
      </c>
      <c r="J26" s="43"/>
      <c r="K26" s="43" t="s">
        <v>109</v>
      </c>
      <c r="L26" s="41">
        <v>0.09</v>
      </c>
      <c r="R26" s="33">
        <f t="shared" ref="R26:S26" si="17">SUM(R2:R25)</f>
        <v>604862.1219</v>
      </c>
      <c r="S26" s="15">
        <f t="shared" si="17"/>
        <v>330173.2345</v>
      </c>
    </row>
    <row r="27" ht="18.0" customHeight="1">
      <c r="A27" s="41" t="s">
        <v>110</v>
      </c>
      <c r="C27" s="44">
        <f>C12*0.0065</f>
        <v>2651.17112</v>
      </c>
      <c r="E27" s="41" t="s">
        <v>111</v>
      </c>
      <c r="F27" s="41">
        <v>200.0</v>
      </c>
      <c r="G27" s="45">
        <f>F12+G12+H12+I12</f>
        <v>150256.8764</v>
      </c>
      <c r="K27" s="41" t="s">
        <v>112</v>
      </c>
      <c r="L27" s="41">
        <v>0.0216</v>
      </c>
    </row>
    <row r="28" ht="14.25" customHeight="1">
      <c r="A28" s="41" t="s">
        <v>113</v>
      </c>
      <c r="C28" s="44">
        <v>25000.0</v>
      </c>
      <c r="E28" s="41" t="s">
        <v>114</v>
      </c>
      <c r="F28" s="41">
        <v>300.0</v>
      </c>
      <c r="G28" s="45">
        <f t="shared" ref="G28:G30" si="18">C30</f>
        <v>376202.1711</v>
      </c>
      <c r="K28" s="41" t="s">
        <v>115</v>
      </c>
      <c r="L28" s="41">
        <v>0.0058</v>
      </c>
    </row>
    <row r="29" ht="14.25" customHeight="1">
      <c r="A29" s="41" t="s">
        <v>161</v>
      </c>
      <c r="C29" s="46">
        <f>E22</f>
        <v>347389</v>
      </c>
      <c r="E29" s="41" t="s">
        <v>117</v>
      </c>
      <c r="F29" s="41">
        <v>400.0</v>
      </c>
      <c r="G29" s="45">
        <f t="shared" si="18"/>
        <v>2600</v>
      </c>
      <c r="K29" s="41" t="s">
        <v>118</v>
      </c>
      <c r="L29" s="41">
        <v>0.0145</v>
      </c>
    </row>
    <row r="30" ht="14.25" customHeight="1">
      <c r="A30" s="42" t="s">
        <v>119</v>
      </c>
      <c r="C30" s="45">
        <f>SUM(C26:C29)</f>
        <v>376202.1711</v>
      </c>
      <c r="E30" s="47" t="s">
        <v>120</v>
      </c>
      <c r="F30" s="47">
        <v>500.0</v>
      </c>
      <c r="G30" s="48">
        <f t="shared" si="18"/>
        <v>3600</v>
      </c>
      <c r="K30" s="41" t="s">
        <v>121</v>
      </c>
      <c r="L30" s="41">
        <v>0.062</v>
      </c>
    </row>
    <row r="31" ht="14.25" customHeight="1">
      <c r="A31" s="42" t="s">
        <v>162</v>
      </c>
      <c r="C31" s="45">
        <v>2600.0</v>
      </c>
      <c r="K31" s="41" t="s">
        <v>123</v>
      </c>
      <c r="L31" s="41">
        <f>SSW!L31</f>
        <v>8000</v>
      </c>
    </row>
    <row r="32" ht="14.25" customHeight="1">
      <c r="A32" s="42" t="s">
        <v>163</v>
      </c>
      <c r="C32" s="45">
        <v>3600.0</v>
      </c>
      <c r="E32" s="42" t="s">
        <v>164</v>
      </c>
      <c r="F32" s="42"/>
      <c r="G32" s="49">
        <f>SUM(G26:G31)</f>
        <v>955531.5275</v>
      </c>
      <c r="K32" s="41" t="s">
        <v>165</v>
      </c>
      <c r="L32" s="41">
        <v>0.1275</v>
      </c>
    </row>
    <row r="33" ht="14.25" customHeight="1">
      <c r="K33" s="41" t="s">
        <v>126</v>
      </c>
      <c r="L33" s="41">
        <v>0.0065</v>
      </c>
    </row>
    <row r="34" ht="14.25" customHeight="1">
      <c r="K34" s="41" t="s">
        <v>128</v>
      </c>
      <c r="L34" s="41">
        <v>0.014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3.88"/>
    <col customWidth="1" min="3" max="3" width="8.88"/>
    <col customWidth="1" min="4" max="4" width="7.0"/>
    <col customWidth="1" min="5" max="5" width="8.75"/>
    <col customWidth="1" min="6" max="6" width="9.38"/>
    <col customWidth="1" min="7" max="7" width="10.25"/>
    <col customWidth="1" min="8" max="8" width="6.75"/>
    <col customWidth="1" min="9" max="9" width="9.63"/>
    <col customWidth="1" min="10" max="10" width="7.0"/>
    <col customWidth="1" min="11" max="11" width="7.38"/>
    <col customWidth="1" min="12" max="12" width="8.0"/>
    <col customWidth="1" min="13" max="26" width="7.63"/>
  </cols>
  <sheetData>
    <row r="1" ht="14.25" customHeight="1">
      <c r="A1" s="22" t="s">
        <v>47</v>
      </c>
      <c r="B1" s="22" t="s">
        <v>48</v>
      </c>
      <c r="C1" s="22" t="s">
        <v>49</v>
      </c>
      <c r="D1" s="23" t="s">
        <v>50</v>
      </c>
      <c r="E1" s="23" t="s">
        <v>51</v>
      </c>
      <c r="F1" s="23" t="s">
        <v>52</v>
      </c>
      <c r="G1" s="23" t="s">
        <v>53</v>
      </c>
      <c r="H1" s="23" t="s">
        <v>54</v>
      </c>
      <c r="I1" s="22" t="s">
        <v>55</v>
      </c>
      <c r="J1" s="23" t="s">
        <v>56</v>
      </c>
      <c r="K1" s="23" t="s">
        <v>57</v>
      </c>
      <c r="L1" s="23" t="s">
        <v>58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4.25" customHeight="1">
      <c r="A2" s="24" t="s">
        <v>166</v>
      </c>
      <c r="B2" s="57">
        <v>0.6</v>
      </c>
      <c r="C2" s="26">
        <f>(59596*1.05)*0.75</f>
        <v>46931.85</v>
      </c>
      <c r="D2" s="27">
        <v>0.0</v>
      </c>
      <c r="E2" s="27">
        <f t="shared" ref="E2:E20" si="1">D2+C2</f>
        <v>46931.85</v>
      </c>
      <c r="F2" s="27">
        <f>C2*L26</f>
        <v>4223.8665</v>
      </c>
      <c r="G2" s="27">
        <f>C2*L27</f>
        <v>1013.72796</v>
      </c>
      <c r="H2" s="27">
        <f t="shared" ref="H2:H13" si="2">C2*$L$28</f>
        <v>272.20473</v>
      </c>
      <c r="I2" s="27">
        <f t="shared" ref="I2:I16" si="3">C2+F2+G2+H2</f>
        <v>52441.64919</v>
      </c>
      <c r="J2" s="27">
        <f t="shared" ref="J2:J13" si="4">C2*$L$29</f>
        <v>680.511825</v>
      </c>
      <c r="K2" s="27"/>
      <c r="L2" s="27">
        <f>8000*0.8</f>
        <v>6400</v>
      </c>
      <c r="M2" s="27"/>
    </row>
    <row r="3" ht="14.25" customHeight="1">
      <c r="A3" s="24" t="s">
        <v>167</v>
      </c>
      <c r="B3" s="25">
        <v>1.0</v>
      </c>
      <c r="C3" s="26">
        <f>(84506*1.06)</f>
        <v>89576.36</v>
      </c>
      <c r="D3" s="27">
        <v>0.0</v>
      </c>
      <c r="E3" s="27">
        <f t="shared" si="1"/>
        <v>89576.36</v>
      </c>
      <c r="F3" s="27">
        <f>C3*L26</f>
        <v>8061.8724</v>
      </c>
      <c r="G3" s="27">
        <f>C3*L27</f>
        <v>1934.849376</v>
      </c>
      <c r="H3" s="27">
        <f t="shared" si="2"/>
        <v>519.542888</v>
      </c>
      <c r="I3" s="27">
        <f t="shared" si="3"/>
        <v>100092.6247</v>
      </c>
      <c r="J3" s="27">
        <f t="shared" si="4"/>
        <v>1298.85722</v>
      </c>
      <c r="K3" s="27"/>
      <c r="L3" s="27">
        <v>8000.0</v>
      </c>
      <c r="M3" s="27"/>
      <c r="N3" s="54"/>
    </row>
    <row r="4" ht="14.25" customHeight="1">
      <c r="A4" s="24" t="s">
        <v>168</v>
      </c>
      <c r="B4" s="25">
        <v>1.0</v>
      </c>
      <c r="C4" s="26">
        <f>(97376*1.045)+500</f>
        <v>102257.92</v>
      </c>
      <c r="D4" s="27">
        <v>0.0</v>
      </c>
      <c r="E4" s="27">
        <f t="shared" si="1"/>
        <v>102257.92</v>
      </c>
      <c r="F4" s="27">
        <f>C4*L26</f>
        <v>9203.2128</v>
      </c>
      <c r="G4" s="27">
        <f>C4*L27</f>
        <v>2208.771072</v>
      </c>
      <c r="H4" s="27">
        <f t="shared" si="2"/>
        <v>593.095936</v>
      </c>
      <c r="I4" s="27">
        <f t="shared" si="3"/>
        <v>114262.9998</v>
      </c>
      <c r="J4" s="27">
        <f t="shared" si="4"/>
        <v>1482.73984</v>
      </c>
      <c r="K4" s="27"/>
      <c r="L4" s="27">
        <v>8000.0</v>
      </c>
      <c r="M4" s="27"/>
      <c r="N4" s="54">
        <f>G37*1</f>
        <v>23675.24291</v>
      </c>
    </row>
    <row r="5" ht="14.25" customHeight="1">
      <c r="A5" s="24" t="s">
        <v>169</v>
      </c>
      <c r="B5" s="25">
        <v>1.0</v>
      </c>
      <c r="C5" s="26">
        <f>(64300*1.0475)+750</f>
        <v>68104.25</v>
      </c>
      <c r="D5" s="27">
        <v>0.0</v>
      </c>
      <c r="E5" s="27">
        <f t="shared" si="1"/>
        <v>68104.25</v>
      </c>
      <c r="F5" s="27">
        <f>C5*L26</f>
        <v>6129.3825</v>
      </c>
      <c r="G5" s="27">
        <f>C5*L27</f>
        <v>1471.0518</v>
      </c>
      <c r="H5" s="27">
        <f t="shared" si="2"/>
        <v>395.00465</v>
      </c>
      <c r="I5" s="27">
        <f t="shared" si="3"/>
        <v>76099.68895</v>
      </c>
      <c r="J5" s="27">
        <f t="shared" si="4"/>
        <v>987.511625</v>
      </c>
      <c r="K5" s="27"/>
      <c r="L5" s="27">
        <v>8000.0</v>
      </c>
      <c r="M5" s="27"/>
      <c r="N5" s="54"/>
    </row>
    <row r="6" ht="14.25" customHeight="1">
      <c r="A6" s="24" t="s">
        <v>170</v>
      </c>
      <c r="B6" s="25">
        <v>1.0</v>
      </c>
      <c r="C6" s="26">
        <f>(96202*1.06)</f>
        <v>101974.12</v>
      </c>
      <c r="D6" s="27">
        <v>0.0</v>
      </c>
      <c r="E6" s="27">
        <f t="shared" si="1"/>
        <v>101974.12</v>
      </c>
      <c r="F6" s="27">
        <f>C6*L26</f>
        <v>9177.6708</v>
      </c>
      <c r="G6" s="27">
        <f>C6*L27</f>
        <v>2202.640992</v>
      </c>
      <c r="H6" s="27">
        <f t="shared" si="2"/>
        <v>591.449896</v>
      </c>
      <c r="I6" s="27">
        <f t="shared" si="3"/>
        <v>113945.8817</v>
      </c>
      <c r="J6" s="27">
        <f t="shared" si="4"/>
        <v>1478.62474</v>
      </c>
      <c r="K6" s="27"/>
      <c r="L6" s="27">
        <v>8000.0</v>
      </c>
      <c r="M6" s="27"/>
    </row>
    <row r="7" ht="14.25" customHeight="1">
      <c r="A7" s="24" t="s">
        <v>171</v>
      </c>
      <c r="B7" s="25">
        <v>1.0</v>
      </c>
      <c r="C7" s="26">
        <f>(59878*1.055)+250</f>
        <v>63421.29</v>
      </c>
      <c r="D7" s="27">
        <v>3600.0</v>
      </c>
      <c r="E7" s="27">
        <f t="shared" si="1"/>
        <v>67021.29</v>
      </c>
      <c r="F7" s="27">
        <f>C7*L26</f>
        <v>5707.9161</v>
      </c>
      <c r="G7" s="27">
        <f>C7*L27</f>
        <v>1369.899864</v>
      </c>
      <c r="H7" s="27">
        <f t="shared" si="2"/>
        <v>367.843482</v>
      </c>
      <c r="I7" s="27">
        <f t="shared" si="3"/>
        <v>70866.94945</v>
      </c>
      <c r="J7" s="27">
        <f t="shared" si="4"/>
        <v>919.608705</v>
      </c>
      <c r="K7" s="27"/>
      <c r="L7" s="27">
        <v>8000.0</v>
      </c>
      <c r="M7" s="27"/>
    </row>
    <row r="8" ht="14.25" customHeight="1">
      <c r="A8" s="24" t="s">
        <v>172</v>
      </c>
      <c r="B8" s="57">
        <v>1.0</v>
      </c>
      <c r="C8" s="26">
        <f>(75745*1.06)</f>
        <v>80289.7</v>
      </c>
      <c r="D8" s="27">
        <v>3600.0</v>
      </c>
      <c r="E8" s="27">
        <f t="shared" si="1"/>
        <v>83889.7</v>
      </c>
      <c r="F8" s="27">
        <f>C8*L26</f>
        <v>7226.073</v>
      </c>
      <c r="G8" s="27">
        <f>C8*L27</f>
        <v>1734.25752</v>
      </c>
      <c r="H8" s="27">
        <f t="shared" si="2"/>
        <v>465.68026</v>
      </c>
      <c r="I8" s="27">
        <f t="shared" si="3"/>
        <v>89715.71078</v>
      </c>
      <c r="J8" s="27">
        <f t="shared" si="4"/>
        <v>1164.20065</v>
      </c>
      <c r="K8" s="27"/>
      <c r="L8" s="27">
        <v>8000.0</v>
      </c>
      <c r="M8" s="27"/>
    </row>
    <row r="9" ht="14.25" customHeight="1">
      <c r="A9" s="24" t="s">
        <v>173</v>
      </c>
      <c r="B9" s="25">
        <v>1.0</v>
      </c>
      <c r="C9" s="26">
        <f>79258*1.045</f>
        <v>82824.61</v>
      </c>
      <c r="D9" s="27">
        <v>0.0</v>
      </c>
      <c r="E9" s="27">
        <f t="shared" si="1"/>
        <v>82824.61</v>
      </c>
      <c r="F9" s="27">
        <f>C9*L26</f>
        <v>7454.2149</v>
      </c>
      <c r="G9" s="27">
        <f>C9*L27</f>
        <v>1789.011576</v>
      </c>
      <c r="H9" s="27">
        <f t="shared" si="2"/>
        <v>480.382738</v>
      </c>
      <c r="I9" s="27">
        <f t="shared" si="3"/>
        <v>92548.21921</v>
      </c>
      <c r="J9" s="27">
        <f t="shared" si="4"/>
        <v>1200.956845</v>
      </c>
      <c r="K9" s="27"/>
      <c r="L9" s="27">
        <v>8000.0</v>
      </c>
      <c r="M9" s="27"/>
    </row>
    <row r="10" ht="14.25" customHeight="1">
      <c r="A10" s="24"/>
      <c r="B10" s="57">
        <v>0.0</v>
      </c>
      <c r="C10" s="29"/>
      <c r="D10" s="27">
        <v>0.0</v>
      </c>
      <c r="E10" s="27">
        <f t="shared" si="1"/>
        <v>0</v>
      </c>
      <c r="F10" s="27">
        <f>C10*L26</f>
        <v>0</v>
      </c>
      <c r="G10" s="27">
        <f t="shared" ref="G10:G13" si="5">C10*$L$27</f>
        <v>0</v>
      </c>
      <c r="H10" s="27">
        <f t="shared" si="2"/>
        <v>0</v>
      </c>
      <c r="I10" s="27">
        <f t="shared" si="3"/>
        <v>0</v>
      </c>
      <c r="J10" s="27">
        <f t="shared" si="4"/>
        <v>0</v>
      </c>
      <c r="K10" s="27"/>
      <c r="L10" s="27"/>
      <c r="N10" s="15"/>
    </row>
    <row r="11" ht="14.25" customHeight="1">
      <c r="A11" s="24" t="s">
        <v>174</v>
      </c>
      <c r="B11" s="25">
        <v>1.0</v>
      </c>
      <c r="C11" s="59">
        <f>(66169*1.0475)+1500</f>
        <v>70812.0275</v>
      </c>
      <c r="D11" s="27">
        <v>0.0</v>
      </c>
      <c r="E11" s="27">
        <f t="shared" si="1"/>
        <v>70812.0275</v>
      </c>
      <c r="F11" s="27">
        <f>C11*L26</f>
        <v>6373.082475</v>
      </c>
      <c r="G11" s="27">
        <f t="shared" si="5"/>
        <v>1529.539794</v>
      </c>
      <c r="H11" s="27">
        <f t="shared" si="2"/>
        <v>410.7097595</v>
      </c>
      <c r="I11" s="27">
        <f t="shared" si="3"/>
        <v>79125.35953</v>
      </c>
      <c r="J11" s="27">
        <f t="shared" si="4"/>
        <v>1026.774399</v>
      </c>
      <c r="K11" s="27"/>
      <c r="L11" s="27">
        <v>8000.0</v>
      </c>
      <c r="M11" s="27"/>
    </row>
    <row r="12" ht="14.25" customHeight="1">
      <c r="A12" s="24" t="s">
        <v>175</v>
      </c>
      <c r="B12" s="25">
        <v>1.0</v>
      </c>
      <c r="C12" s="26">
        <f>81124*1.0475</f>
        <v>84977.39</v>
      </c>
      <c r="D12" s="70"/>
      <c r="E12" s="27">
        <f t="shared" si="1"/>
        <v>84977.39</v>
      </c>
      <c r="F12" s="27">
        <f>C12*L26</f>
        <v>7647.9651</v>
      </c>
      <c r="G12" s="27">
        <f t="shared" si="5"/>
        <v>1835.511624</v>
      </c>
      <c r="H12" s="27">
        <f t="shared" si="2"/>
        <v>492.868862</v>
      </c>
      <c r="I12" s="27">
        <f t="shared" si="3"/>
        <v>94953.73559</v>
      </c>
      <c r="J12" s="27">
        <f t="shared" si="4"/>
        <v>1232.172155</v>
      </c>
      <c r="K12" s="27">
        <v>0.0</v>
      </c>
      <c r="L12" s="27">
        <v>8000.0</v>
      </c>
      <c r="M12" s="27"/>
    </row>
    <row r="13" ht="14.25" customHeight="1">
      <c r="A13" s="28" t="s">
        <v>176</v>
      </c>
      <c r="B13" s="25">
        <v>1.0</v>
      </c>
      <c r="C13" s="59">
        <f>77006*1.045</f>
        <v>80471.27</v>
      </c>
      <c r="D13" s="27">
        <v>0.0</v>
      </c>
      <c r="E13" s="27">
        <f t="shared" si="1"/>
        <v>80471.27</v>
      </c>
      <c r="F13" s="27">
        <f>C13*L26</f>
        <v>7242.4143</v>
      </c>
      <c r="G13" s="27">
        <f t="shared" si="5"/>
        <v>1738.179432</v>
      </c>
      <c r="H13" s="27">
        <f t="shared" si="2"/>
        <v>466.733366</v>
      </c>
      <c r="I13" s="27">
        <f t="shared" si="3"/>
        <v>89918.5971</v>
      </c>
      <c r="J13" s="27">
        <f t="shared" si="4"/>
        <v>1166.833415</v>
      </c>
      <c r="K13" s="27"/>
      <c r="L13" s="27">
        <v>8000.0</v>
      </c>
      <c r="M13" s="27"/>
      <c r="N13" s="15">
        <f>G37*1</f>
        <v>23675.24291</v>
      </c>
      <c r="P13" s="15" t="s">
        <v>177</v>
      </c>
    </row>
    <row r="14" ht="14.25" customHeight="1">
      <c r="A14" s="15" t="s">
        <v>178</v>
      </c>
      <c r="B14" s="25">
        <v>0.0</v>
      </c>
      <c r="C14" s="59">
        <v>46474.0</v>
      </c>
      <c r="D14" s="27">
        <v>0.0</v>
      </c>
      <c r="E14" s="27">
        <f t="shared" si="1"/>
        <v>46474</v>
      </c>
      <c r="F14" s="27">
        <f>C14*L26</f>
        <v>4182.66</v>
      </c>
      <c r="G14" s="27">
        <f>C14*L27</f>
        <v>1003.8384</v>
      </c>
      <c r="H14" s="27">
        <f>C14*L28</f>
        <v>269.5492</v>
      </c>
      <c r="I14" s="27">
        <f t="shared" si="3"/>
        <v>51930.0476</v>
      </c>
      <c r="J14" s="27">
        <f>C14*L29</f>
        <v>673.873</v>
      </c>
      <c r="K14" s="27"/>
      <c r="L14" s="27">
        <v>8000.0</v>
      </c>
      <c r="M14" s="27">
        <f>SUM(G14:L14)</f>
        <v>61877.3082</v>
      </c>
      <c r="N14" s="15">
        <f>M14*0.6</f>
        <v>37126.38492</v>
      </c>
    </row>
    <row r="15" ht="14.25" customHeight="1">
      <c r="A15" s="41" t="s">
        <v>104</v>
      </c>
      <c r="B15" s="25">
        <v>0.0</v>
      </c>
      <c r="C15" s="27">
        <v>0.0</v>
      </c>
      <c r="D15" s="27">
        <v>0.0</v>
      </c>
      <c r="E15" s="27">
        <f t="shared" si="1"/>
        <v>0</v>
      </c>
      <c r="F15" s="27">
        <f>C15*L26</f>
        <v>0</v>
      </c>
      <c r="G15" s="27">
        <f>C15*L27</f>
        <v>0</v>
      </c>
      <c r="H15" s="27">
        <f>C15*L28</f>
        <v>0</v>
      </c>
      <c r="I15" s="27">
        <f t="shared" si="3"/>
        <v>0</v>
      </c>
      <c r="J15" s="27">
        <f>C15*L29</f>
        <v>0</v>
      </c>
      <c r="K15" s="27"/>
      <c r="L15" s="27"/>
      <c r="M15" s="27"/>
      <c r="N15" s="33">
        <f>SUM(N4:N14)</f>
        <v>84476.87073</v>
      </c>
    </row>
    <row r="16" ht="14.25" customHeight="1">
      <c r="A16" s="41" t="s">
        <v>104</v>
      </c>
      <c r="B16" s="25">
        <v>0.0</v>
      </c>
      <c r="C16" s="27">
        <v>0.0</v>
      </c>
      <c r="D16" s="27">
        <v>0.0</v>
      </c>
      <c r="E16" s="27">
        <f t="shared" si="1"/>
        <v>0</v>
      </c>
      <c r="F16" s="38">
        <f>C16*L26</f>
        <v>0</v>
      </c>
      <c r="G16" s="38">
        <f>C16*L27</f>
        <v>0</v>
      </c>
      <c r="H16" s="38">
        <f>C16*L28</f>
        <v>0</v>
      </c>
      <c r="I16" s="38">
        <f t="shared" si="3"/>
        <v>0</v>
      </c>
      <c r="J16" s="38">
        <f>C16*L29</f>
        <v>0</v>
      </c>
      <c r="K16" s="38"/>
      <c r="L16" s="38"/>
      <c r="M16" s="27"/>
    </row>
    <row r="17" ht="14.25" customHeight="1">
      <c r="B17" s="25">
        <f t="shared" ref="B17:D17" si="6">SUM(B2:B16)</f>
        <v>10.6</v>
      </c>
      <c r="C17" s="39">
        <f t="shared" si="6"/>
        <v>918114.7875</v>
      </c>
      <c r="D17" s="39">
        <f t="shared" si="6"/>
        <v>7200</v>
      </c>
      <c r="E17" s="39">
        <f t="shared" si="1"/>
        <v>925314.7875</v>
      </c>
      <c r="F17" s="39">
        <f t="shared" ref="F17:J17" si="7">SUM(F2:F16)</f>
        <v>82630.33088</v>
      </c>
      <c r="G17" s="39">
        <f t="shared" si="7"/>
        <v>19831.27941</v>
      </c>
      <c r="H17" s="39">
        <f t="shared" si="7"/>
        <v>5325.065768</v>
      </c>
      <c r="I17" s="39">
        <f t="shared" si="7"/>
        <v>1025901.464</v>
      </c>
      <c r="J17" s="39">
        <f t="shared" si="7"/>
        <v>13312.66442</v>
      </c>
      <c r="K17" s="27"/>
      <c r="L17" s="39">
        <f>B17*L31</f>
        <v>84800</v>
      </c>
      <c r="M17" s="27"/>
    </row>
    <row r="18" ht="14.25" customHeight="1">
      <c r="A18" s="41" t="s">
        <v>179</v>
      </c>
      <c r="B18" s="25"/>
      <c r="C18" s="27"/>
      <c r="D18" s="27"/>
      <c r="E18" s="27">
        <f t="shared" si="1"/>
        <v>0</v>
      </c>
      <c r="F18" s="27"/>
      <c r="G18" s="27"/>
      <c r="H18" s="27"/>
      <c r="I18" s="27"/>
      <c r="J18" s="27"/>
      <c r="K18" s="27"/>
      <c r="L18" s="27"/>
      <c r="M18" s="27"/>
    </row>
    <row r="19" ht="14.25" customHeight="1">
      <c r="A19" s="41"/>
      <c r="B19" s="25">
        <v>1.0</v>
      </c>
      <c r="C19" s="27"/>
      <c r="D19" s="27"/>
      <c r="E19" s="27">
        <f t="shared" si="1"/>
        <v>0</v>
      </c>
      <c r="F19" s="27"/>
      <c r="G19" s="27"/>
      <c r="H19" s="27"/>
      <c r="I19" s="27"/>
      <c r="J19" s="27">
        <f>E19*L29</f>
        <v>0</v>
      </c>
      <c r="K19" s="27">
        <f>C19*L30</f>
        <v>0</v>
      </c>
      <c r="L19" s="27"/>
      <c r="M19" s="27"/>
    </row>
    <row r="20" ht="14.25" customHeight="1">
      <c r="A20" s="41" t="s">
        <v>104</v>
      </c>
      <c r="B20" s="36">
        <v>0.0</v>
      </c>
      <c r="C20" s="38"/>
      <c r="D20" s="38"/>
      <c r="E20" s="38">
        <f t="shared" si="1"/>
        <v>0</v>
      </c>
      <c r="F20" s="38"/>
      <c r="G20" s="38"/>
      <c r="H20" s="38"/>
      <c r="I20" s="38"/>
      <c r="J20" s="38">
        <f>E20*L29</f>
        <v>0</v>
      </c>
      <c r="K20" s="38">
        <f>C20*L30</f>
        <v>0</v>
      </c>
      <c r="L20" s="27"/>
      <c r="M20" s="27"/>
    </row>
    <row r="21" ht="14.25" customHeight="1">
      <c r="B21" s="25">
        <f t="shared" ref="B21:K21" si="8">SUM(B19:B20)</f>
        <v>1</v>
      </c>
      <c r="C21" s="27">
        <f t="shared" si="8"/>
        <v>0</v>
      </c>
      <c r="D21" s="27">
        <f t="shared" si="8"/>
        <v>0</v>
      </c>
      <c r="E21" s="27">
        <f t="shared" si="8"/>
        <v>0</v>
      </c>
      <c r="F21" s="27">
        <f t="shared" si="8"/>
        <v>0</v>
      </c>
      <c r="G21" s="27">
        <f t="shared" si="8"/>
        <v>0</v>
      </c>
      <c r="H21" s="27">
        <f t="shared" si="8"/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/>
      <c r="M21" s="27"/>
    </row>
    <row r="22" ht="14.25" customHeight="1">
      <c r="A22" s="42" t="s">
        <v>105</v>
      </c>
      <c r="B22" s="25">
        <f t="shared" ref="B22:L22" si="9">B21+B17</f>
        <v>11.6</v>
      </c>
      <c r="C22" s="39">
        <f t="shared" si="9"/>
        <v>918114.7875</v>
      </c>
      <c r="D22" s="39">
        <f t="shared" si="9"/>
        <v>7200</v>
      </c>
      <c r="E22" s="39">
        <f t="shared" si="9"/>
        <v>925314.7875</v>
      </c>
      <c r="F22" s="39">
        <f t="shared" si="9"/>
        <v>82630.33088</v>
      </c>
      <c r="G22" s="39">
        <f t="shared" si="9"/>
        <v>19831.27941</v>
      </c>
      <c r="H22" s="39">
        <f t="shared" si="9"/>
        <v>5325.065768</v>
      </c>
      <c r="I22" s="39">
        <f t="shared" si="9"/>
        <v>1025901.464</v>
      </c>
      <c r="J22" s="39">
        <f t="shared" si="9"/>
        <v>13312.66442</v>
      </c>
      <c r="K22" s="39">
        <f t="shared" si="9"/>
        <v>0</v>
      </c>
      <c r="L22" s="39">
        <f t="shared" si="9"/>
        <v>84800</v>
      </c>
      <c r="M22" s="27"/>
    </row>
    <row r="23" ht="14.25" customHeight="1">
      <c r="C23" s="27"/>
      <c r="D23" s="27"/>
      <c r="E23" s="27" t="s">
        <v>104</v>
      </c>
      <c r="F23" s="27"/>
      <c r="G23" s="27"/>
      <c r="H23" s="27"/>
      <c r="I23" s="27"/>
      <c r="J23" s="27"/>
      <c r="K23" s="27"/>
      <c r="L23" s="27"/>
      <c r="M23" s="27"/>
    </row>
    <row r="24" ht="14.25" customHeight="1">
      <c r="A24" s="41" t="s">
        <v>180</v>
      </c>
      <c r="D24" s="43"/>
      <c r="E24" s="43" t="s">
        <v>104</v>
      </c>
      <c r="F24" s="43"/>
      <c r="G24" s="43"/>
      <c r="H24" s="43"/>
      <c r="I24" s="43"/>
      <c r="J24" s="43"/>
      <c r="K24" s="43"/>
      <c r="L24" s="43"/>
    </row>
    <row r="25" ht="14.25" customHeight="1">
      <c r="A25" s="41"/>
      <c r="B25" s="41"/>
      <c r="C25" s="41"/>
      <c r="D25" s="43"/>
      <c r="E25" s="43"/>
      <c r="F25" s="43"/>
      <c r="G25" s="43"/>
      <c r="H25" s="43"/>
      <c r="I25" s="43"/>
      <c r="J25" s="43"/>
      <c r="K25" s="43"/>
      <c r="L25" s="43"/>
      <c r="N25" s="32"/>
      <c r="O25" s="32"/>
    </row>
    <row r="26" ht="14.25" customHeight="1">
      <c r="A26" s="41" t="s">
        <v>107</v>
      </c>
      <c r="B26" s="41" t="s">
        <v>104</v>
      </c>
      <c r="C26" s="44">
        <f>(B22*10000)*0.014</f>
        <v>1624</v>
      </c>
      <c r="D26" s="43"/>
      <c r="E26" s="43" t="s">
        <v>108</v>
      </c>
      <c r="F26" s="27">
        <v>100.0</v>
      </c>
      <c r="G26" s="45">
        <f>E22</f>
        <v>925314.7875</v>
      </c>
      <c r="J26" s="43"/>
      <c r="K26" s="43" t="s">
        <v>109</v>
      </c>
      <c r="L26" s="41">
        <v>0.09</v>
      </c>
    </row>
    <row r="27" ht="14.25" customHeight="1">
      <c r="A27" s="41" t="s">
        <v>110</v>
      </c>
      <c r="C27" s="44">
        <f>C22*0.0065</f>
        <v>5967.746119</v>
      </c>
      <c r="E27" s="41" t="s">
        <v>111</v>
      </c>
      <c r="F27" s="41">
        <v>200.0</v>
      </c>
      <c r="G27" s="45">
        <f>F22+G22+H22+J22+K22+L22</f>
        <v>205899.3405</v>
      </c>
      <c r="K27" s="41" t="s">
        <v>112</v>
      </c>
      <c r="L27" s="41">
        <v>0.0216</v>
      </c>
    </row>
    <row r="28" ht="14.25" customHeight="1">
      <c r="A28" s="41" t="s">
        <v>113</v>
      </c>
      <c r="C28" s="44">
        <v>20213.0</v>
      </c>
      <c r="E28" s="41" t="s">
        <v>114</v>
      </c>
      <c r="F28" s="41">
        <v>300.0</v>
      </c>
      <c r="G28" s="45">
        <f t="shared" ref="G28:G30" si="10">C30</f>
        <v>112804.7461</v>
      </c>
      <c r="K28" s="41" t="s">
        <v>115</v>
      </c>
      <c r="L28" s="41">
        <v>0.0058</v>
      </c>
    </row>
    <row r="29" ht="14.25" customHeight="1">
      <c r="A29" s="41" t="s">
        <v>181</v>
      </c>
      <c r="C29" s="46">
        <v>85000.0</v>
      </c>
      <c r="E29" s="41" t="s">
        <v>117</v>
      </c>
      <c r="F29" s="41">
        <v>400.0</v>
      </c>
      <c r="G29" s="45">
        <f t="shared" si="10"/>
        <v>15000</v>
      </c>
      <c r="K29" s="41" t="s">
        <v>118</v>
      </c>
      <c r="L29" s="41">
        <v>0.0145</v>
      </c>
    </row>
    <row r="30" ht="14.25" customHeight="1">
      <c r="A30" s="42" t="s">
        <v>119</v>
      </c>
      <c r="C30" s="45">
        <f>SUM(C25:C29)</f>
        <v>112804.7461</v>
      </c>
      <c r="E30" s="47" t="s">
        <v>120</v>
      </c>
      <c r="F30" s="47">
        <v>500.0</v>
      </c>
      <c r="G30" s="48">
        <f t="shared" si="10"/>
        <v>6600</v>
      </c>
      <c r="K30" s="41" t="s">
        <v>121</v>
      </c>
      <c r="L30" s="41">
        <v>0.062</v>
      </c>
    </row>
    <row r="31" ht="14.25" customHeight="1">
      <c r="A31" s="42" t="s">
        <v>182</v>
      </c>
      <c r="C31" s="45">
        <v>15000.0</v>
      </c>
      <c r="K31" s="41" t="s">
        <v>123</v>
      </c>
      <c r="L31" s="71">
        <f>SSW!L31</f>
        <v>8000</v>
      </c>
    </row>
    <row r="32" ht="14.25" customHeight="1">
      <c r="A32" s="42" t="s">
        <v>183</v>
      </c>
      <c r="C32" s="45">
        <v>6600.0</v>
      </c>
      <c r="E32" s="42" t="s">
        <v>184</v>
      </c>
      <c r="F32" s="42"/>
      <c r="G32" s="49">
        <f>SUM(G26:G31)</f>
        <v>1265618.874</v>
      </c>
      <c r="K32" s="41" t="s">
        <v>126</v>
      </c>
      <c r="L32" s="41">
        <v>0.0065</v>
      </c>
    </row>
    <row r="33" ht="14.25" customHeight="1">
      <c r="F33" s="15" t="s">
        <v>129</v>
      </c>
      <c r="G33" s="15">
        <v>-90000.0</v>
      </c>
      <c r="K33" s="41" t="s">
        <v>128</v>
      </c>
      <c r="L33" s="41">
        <v>0.014</v>
      </c>
    </row>
    <row r="34" ht="14.25" customHeight="1">
      <c r="F34" s="15" t="s">
        <v>130</v>
      </c>
      <c r="G34" s="28">
        <v>79169.0</v>
      </c>
    </row>
    <row r="35" ht="14.25" customHeight="1">
      <c r="G35" s="50">
        <f>sum(G32:G34)</f>
        <v>1254787.874</v>
      </c>
    </row>
    <row r="36" ht="14.25" customHeight="1">
      <c r="G36" s="15">
        <f>G35/B17</f>
        <v>118376.2145</v>
      </c>
    </row>
    <row r="37" ht="14.25" customHeight="1">
      <c r="F37" s="15" t="s">
        <v>185</v>
      </c>
      <c r="G37" s="15">
        <f>G36/5</f>
        <v>23675.24291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3.75"/>
    <col customWidth="1" min="3" max="3" width="10.75"/>
    <col customWidth="1" min="4" max="4" width="7.0"/>
    <col customWidth="1" min="5" max="5" width="10.5"/>
    <col customWidth="1" min="6" max="6" width="9.88"/>
    <col customWidth="1" min="7" max="7" width="11.5"/>
    <col customWidth="1" min="8" max="8" width="7.0"/>
    <col customWidth="1" min="9" max="9" width="9.0"/>
    <col customWidth="1" min="10" max="10" width="7.0"/>
    <col customWidth="1" min="11" max="11" width="6.5"/>
    <col customWidth="1" min="12" max="12" width="9.25"/>
    <col customWidth="1" min="13" max="13" width="11.75"/>
    <col customWidth="1" min="14" max="14" width="10.88"/>
    <col customWidth="1" min="15" max="15" width="5.5"/>
    <col customWidth="1" min="16" max="16" width="10.5"/>
    <col customWidth="1" min="17" max="17" width="2.5"/>
    <col customWidth="1" min="18" max="18" width="10.25"/>
    <col customWidth="1" min="19" max="20" width="7.63"/>
    <col customWidth="1" min="21" max="21" width="11.38"/>
    <col customWidth="1" min="22" max="22" width="7.63"/>
    <col customWidth="1" min="23" max="23" width="11.38"/>
    <col customWidth="1" min="24" max="24" width="14.88"/>
    <col customWidth="1" min="25" max="26" width="7.63"/>
  </cols>
  <sheetData>
    <row r="1" ht="14.25" customHeight="1">
      <c r="A1" s="22" t="s">
        <v>47</v>
      </c>
      <c r="B1" s="22" t="s">
        <v>48</v>
      </c>
      <c r="C1" s="22" t="s">
        <v>49</v>
      </c>
      <c r="D1" s="23" t="s">
        <v>50</v>
      </c>
      <c r="E1" s="23" t="s">
        <v>51</v>
      </c>
      <c r="F1" s="23" t="s">
        <v>52</v>
      </c>
      <c r="G1" s="23" t="s">
        <v>53</v>
      </c>
      <c r="H1" s="23" t="s">
        <v>54</v>
      </c>
      <c r="I1" s="22" t="s">
        <v>55</v>
      </c>
      <c r="J1" s="23" t="s">
        <v>56</v>
      </c>
      <c r="K1" s="23" t="s">
        <v>57</v>
      </c>
      <c r="L1" s="23" t="s">
        <v>58</v>
      </c>
      <c r="M1" s="22"/>
      <c r="N1" s="72" t="s">
        <v>186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4.25" customHeight="1">
      <c r="A2" s="73" t="s">
        <v>187</v>
      </c>
      <c r="B2" s="25">
        <v>0.2</v>
      </c>
      <c r="C2" s="70">
        <f>(95680*1.06)*0.2</f>
        <v>20284.16</v>
      </c>
      <c r="D2" s="27">
        <v>0.0</v>
      </c>
      <c r="E2" s="27">
        <f t="shared" ref="E2:E21" si="1">D2+C2</f>
        <v>20284.16</v>
      </c>
      <c r="F2" s="27">
        <f>C2*L26</f>
        <v>1825.5744</v>
      </c>
      <c r="G2" s="27">
        <f>C2*L27</f>
        <v>438.137856</v>
      </c>
      <c r="H2" s="27">
        <f>C2*L28</f>
        <v>117.648128</v>
      </c>
      <c r="I2" s="27">
        <f t="shared" ref="I2:I17" si="2">C2+F2+G2+H2</f>
        <v>22665.52038</v>
      </c>
      <c r="J2" s="27">
        <f>C2*L29</f>
        <v>294.12032</v>
      </c>
      <c r="K2" s="27"/>
      <c r="L2" s="27">
        <f>8000*0.2</f>
        <v>1600</v>
      </c>
      <c r="M2" s="27"/>
      <c r="N2" s="27">
        <f t="shared" ref="N2:N9" si="3">SUM(I2:M2)</f>
        <v>24559.6407</v>
      </c>
    </row>
    <row r="3" ht="14.25" customHeight="1">
      <c r="A3" s="73" t="s">
        <v>188</v>
      </c>
      <c r="B3" s="25">
        <v>1.0</v>
      </c>
      <c r="C3" s="70">
        <f>42740*1.0525</f>
        <v>44983.85</v>
      </c>
      <c r="D3" s="27">
        <v>3600.0</v>
      </c>
      <c r="E3" s="27">
        <f t="shared" si="1"/>
        <v>48583.85</v>
      </c>
      <c r="F3" s="27">
        <f>C3*L26</f>
        <v>4048.5465</v>
      </c>
      <c r="G3" s="27">
        <f>C3*L27</f>
        <v>971.65116</v>
      </c>
      <c r="H3" s="27">
        <f>C3*L28</f>
        <v>260.90633</v>
      </c>
      <c r="I3" s="27">
        <f t="shared" si="2"/>
        <v>50264.95399</v>
      </c>
      <c r="J3" s="27">
        <f>C3*L29</f>
        <v>652.265825</v>
      </c>
      <c r="K3" s="27"/>
      <c r="L3" s="27">
        <f t="shared" ref="L3:L4" si="4">B3*$L$31</f>
        <v>8000</v>
      </c>
      <c r="M3" s="27"/>
      <c r="N3" s="27">
        <f t="shared" si="3"/>
        <v>58917.21982</v>
      </c>
    </row>
    <row r="4" ht="14.25" customHeight="1">
      <c r="A4" s="73" t="s">
        <v>189</v>
      </c>
      <c r="B4" s="25">
        <v>1.0</v>
      </c>
      <c r="C4" s="70">
        <f>41395*1.0525</f>
        <v>43568.2375</v>
      </c>
      <c r="D4" s="27">
        <v>0.0</v>
      </c>
      <c r="E4" s="27">
        <f t="shared" si="1"/>
        <v>43568.2375</v>
      </c>
      <c r="F4" s="27">
        <f>C4*L26</f>
        <v>3921.141375</v>
      </c>
      <c r="G4" s="27">
        <f>C4*L27</f>
        <v>941.07393</v>
      </c>
      <c r="H4" s="27">
        <f>C4*L28</f>
        <v>252.6957775</v>
      </c>
      <c r="I4" s="27">
        <f t="shared" si="2"/>
        <v>48683.14858</v>
      </c>
      <c r="J4" s="27">
        <f>C4*L29</f>
        <v>631.7394438</v>
      </c>
      <c r="K4" s="27"/>
      <c r="L4" s="27">
        <f t="shared" si="4"/>
        <v>8000</v>
      </c>
      <c r="M4" s="27"/>
      <c r="N4" s="27">
        <f t="shared" si="3"/>
        <v>57314.88803</v>
      </c>
    </row>
    <row r="5" ht="14.25" customHeight="1">
      <c r="A5" s="73" t="s">
        <v>190</v>
      </c>
      <c r="B5" s="25">
        <v>0.1</v>
      </c>
      <c r="C5" s="70">
        <f>9154*1.05</f>
        <v>9611.7</v>
      </c>
      <c r="D5" s="27"/>
      <c r="E5" s="27">
        <f t="shared" si="1"/>
        <v>9611.7</v>
      </c>
      <c r="F5" s="27">
        <f>C5*L26</f>
        <v>865.053</v>
      </c>
      <c r="G5" s="27">
        <f>C5*L27</f>
        <v>207.61272</v>
      </c>
      <c r="H5" s="27">
        <f>C5*L28</f>
        <v>55.74786</v>
      </c>
      <c r="I5" s="27">
        <f t="shared" si="2"/>
        <v>10740.11358</v>
      </c>
      <c r="J5" s="27">
        <f>C5*L29</f>
        <v>139.36965</v>
      </c>
      <c r="K5" s="27"/>
      <c r="L5" s="27">
        <v>0.0</v>
      </c>
      <c r="M5" s="27"/>
      <c r="N5" s="27">
        <f t="shared" si="3"/>
        <v>10879.48323</v>
      </c>
    </row>
    <row r="6" ht="14.25" customHeight="1">
      <c r="A6" s="73" t="s">
        <v>191</v>
      </c>
      <c r="B6" s="25">
        <v>1.0</v>
      </c>
      <c r="C6" s="70">
        <f>71995*1.05</f>
        <v>75594.75</v>
      </c>
      <c r="D6" s="27">
        <v>0.0</v>
      </c>
      <c r="E6" s="27">
        <f t="shared" si="1"/>
        <v>75594.75</v>
      </c>
      <c r="F6" s="27">
        <f>C6*L26</f>
        <v>6803.5275</v>
      </c>
      <c r="G6" s="27">
        <f>C6*L27</f>
        <v>1632.8466</v>
      </c>
      <c r="H6" s="27">
        <f>C6*L28</f>
        <v>438.44955</v>
      </c>
      <c r="I6" s="27">
        <f t="shared" si="2"/>
        <v>84469.57365</v>
      </c>
      <c r="J6" s="27">
        <f>C6*L29</f>
        <v>1096.123875</v>
      </c>
      <c r="K6" s="27"/>
      <c r="L6" s="27">
        <f t="shared" ref="L6:L8" si="5">B6*$L$31</f>
        <v>8000</v>
      </c>
      <c r="M6" s="27"/>
      <c r="N6" s="27">
        <f t="shared" si="3"/>
        <v>93565.69753</v>
      </c>
    </row>
    <row r="7" ht="14.25" customHeight="1">
      <c r="A7" s="73" t="s">
        <v>192</v>
      </c>
      <c r="B7" s="25">
        <v>1.0</v>
      </c>
      <c r="C7" s="70">
        <f>73795*1.05</f>
        <v>77484.75</v>
      </c>
      <c r="D7" s="27"/>
      <c r="E7" s="27">
        <f t="shared" si="1"/>
        <v>77484.75</v>
      </c>
      <c r="F7" s="27">
        <f>C7*L26</f>
        <v>6973.6275</v>
      </c>
      <c r="G7" s="27">
        <f>C7*L27</f>
        <v>1673.6706</v>
      </c>
      <c r="H7" s="27">
        <f>C7*L28</f>
        <v>449.41155</v>
      </c>
      <c r="I7" s="27">
        <f t="shared" si="2"/>
        <v>86581.45965</v>
      </c>
      <c r="J7" s="27">
        <f>C7*L29</f>
        <v>1123.528875</v>
      </c>
      <c r="K7" s="27"/>
      <c r="L7" s="27">
        <f t="shared" si="5"/>
        <v>8000</v>
      </c>
      <c r="M7" s="27"/>
      <c r="N7" s="27">
        <f t="shared" si="3"/>
        <v>95704.98853</v>
      </c>
    </row>
    <row r="8" ht="14.25" customHeight="1">
      <c r="A8" s="73" t="s">
        <v>193</v>
      </c>
      <c r="B8" s="25">
        <v>1.0</v>
      </c>
      <c r="C8" s="74">
        <v>52042.0</v>
      </c>
      <c r="D8" s="27"/>
      <c r="E8" s="27">
        <f t="shared" si="1"/>
        <v>52042</v>
      </c>
      <c r="F8" s="27">
        <f>C8*L26</f>
        <v>4683.78</v>
      </c>
      <c r="G8" s="27">
        <f>C8*L27</f>
        <v>1124.1072</v>
      </c>
      <c r="H8" s="27">
        <f>C8*L28</f>
        <v>301.8436</v>
      </c>
      <c r="I8" s="27">
        <f t="shared" si="2"/>
        <v>58151.7308</v>
      </c>
      <c r="J8" s="27">
        <f>C8*L29</f>
        <v>754.609</v>
      </c>
      <c r="K8" s="27"/>
      <c r="L8" s="27">
        <f t="shared" si="5"/>
        <v>8000</v>
      </c>
      <c r="M8" s="27"/>
      <c r="N8" s="27">
        <f t="shared" si="3"/>
        <v>66906.3398</v>
      </c>
    </row>
    <row r="9" ht="14.25" customHeight="1">
      <c r="A9" s="73" t="s">
        <v>194</v>
      </c>
      <c r="B9" s="25">
        <v>1.0</v>
      </c>
      <c r="C9" s="70">
        <f>50812*1.05</f>
        <v>53352.6</v>
      </c>
      <c r="D9" s="27">
        <v>3600.0</v>
      </c>
      <c r="E9" s="27">
        <f t="shared" si="1"/>
        <v>56952.6</v>
      </c>
      <c r="F9" s="27">
        <f>C9*L26</f>
        <v>4801.734</v>
      </c>
      <c r="G9" s="27">
        <f>C9*L27</f>
        <v>1152.41616</v>
      </c>
      <c r="H9" s="27">
        <f>C9*L28</f>
        <v>309.44508</v>
      </c>
      <c r="I9" s="27">
        <f t="shared" si="2"/>
        <v>59616.19524</v>
      </c>
      <c r="J9" s="27">
        <f>C9*L29</f>
        <v>773.6127</v>
      </c>
      <c r="K9" s="27"/>
      <c r="L9" s="27">
        <v>8000.0</v>
      </c>
      <c r="M9" s="27"/>
      <c r="N9" s="54">
        <f t="shared" si="3"/>
        <v>68389.80794</v>
      </c>
    </row>
    <row r="10" ht="14.25" customHeight="1">
      <c r="A10" s="41" t="s">
        <v>104</v>
      </c>
      <c r="B10" s="25">
        <v>0.0</v>
      </c>
      <c r="C10" s="27">
        <v>0.0</v>
      </c>
      <c r="D10" s="27">
        <v>0.0</v>
      </c>
      <c r="E10" s="27">
        <f t="shared" si="1"/>
        <v>0</v>
      </c>
      <c r="F10" s="27">
        <f>C10*L26</f>
        <v>0</v>
      </c>
      <c r="G10" s="27">
        <f>C10*L27</f>
        <v>0</v>
      </c>
      <c r="H10" s="27">
        <f>C10*L28</f>
        <v>0</v>
      </c>
      <c r="I10" s="27">
        <f t="shared" si="2"/>
        <v>0</v>
      </c>
      <c r="J10" s="27">
        <f>C10*L29</f>
        <v>0</v>
      </c>
      <c r="K10" s="27"/>
      <c r="L10" s="27"/>
      <c r="M10" s="27"/>
    </row>
    <row r="11" ht="14.25" customHeight="1">
      <c r="A11" s="41" t="s">
        <v>104</v>
      </c>
      <c r="B11" s="25">
        <v>0.0</v>
      </c>
      <c r="C11" s="27">
        <v>0.0</v>
      </c>
      <c r="D11" s="27">
        <v>0.0</v>
      </c>
      <c r="E11" s="27">
        <f t="shared" si="1"/>
        <v>0</v>
      </c>
      <c r="F11" s="27">
        <f>C11*L26</f>
        <v>0</v>
      </c>
      <c r="G11" s="27">
        <f>C11*L27</f>
        <v>0</v>
      </c>
      <c r="H11" s="27">
        <f>C11*L28</f>
        <v>0</v>
      </c>
      <c r="I11" s="27">
        <f t="shared" si="2"/>
        <v>0</v>
      </c>
      <c r="J11" s="27">
        <f>C11*L29</f>
        <v>0</v>
      </c>
      <c r="K11" s="27"/>
      <c r="L11" s="27"/>
      <c r="M11" s="27"/>
      <c r="N11" s="27">
        <f>SUM(N2:N10)</f>
        <v>476238.0656</v>
      </c>
    </row>
    <row r="12" ht="14.25" customHeight="1">
      <c r="A12" s="41" t="s">
        <v>104</v>
      </c>
      <c r="B12" s="25">
        <v>0.0</v>
      </c>
      <c r="C12" s="27">
        <v>0.0</v>
      </c>
      <c r="D12" s="27"/>
      <c r="E12" s="27">
        <f t="shared" si="1"/>
        <v>0</v>
      </c>
      <c r="F12" s="27">
        <v>0.0</v>
      </c>
      <c r="G12" s="27">
        <v>0.0</v>
      </c>
      <c r="H12" s="27">
        <v>0.0</v>
      </c>
      <c r="I12" s="27">
        <f t="shared" si="2"/>
        <v>0</v>
      </c>
      <c r="J12" s="27">
        <f>C12*L29</f>
        <v>0</v>
      </c>
      <c r="K12" s="27"/>
      <c r="L12" s="27"/>
      <c r="M12" s="27"/>
    </row>
    <row r="13" ht="14.25" customHeight="1">
      <c r="A13" s="41" t="s">
        <v>104</v>
      </c>
      <c r="B13" s="25">
        <v>0.0</v>
      </c>
      <c r="C13" s="27">
        <v>0.0</v>
      </c>
      <c r="D13" s="27">
        <v>0.0</v>
      </c>
      <c r="E13" s="27">
        <f t="shared" si="1"/>
        <v>0</v>
      </c>
      <c r="F13" s="27">
        <f>C13*L26</f>
        <v>0</v>
      </c>
      <c r="G13" s="27">
        <f>C13*L27</f>
        <v>0</v>
      </c>
      <c r="H13" s="27">
        <f>C13*L28</f>
        <v>0</v>
      </c>
      <c r="I13" s="27">
        <f t="shared" si="2"/>
        <v>0</v>
      </c>
      <c r="J13" s="27">
        <f>C13*L29</f>
        <v>0</v>
      </c>
      <c r="K13" s="27"/>
      <c r="L13" s="27"/>
      <c r="M13" s="27"/>
    </row>
    <row r="14" ht="14.25" customHeight="1">
      <c r="A14" s="41" t="s">
        <v>104</v>
      </c>
      <c r="B14" s="25">
        <v>0.0</v>
      </c>
      <c r="C14" s="27">
        <v>0.0</v>
      </c>
      <c r="D14" s="27">
        <v>0.0</v>
      </c>
      <c r="E14" s="27">
        <f t="shared" si="1"/>
        <v>0</v>
      </c>
      <c r="F14" s="27">
        <f>C14*L26</f>
        <v>0</v>
      </c>
      <c r="G14" s="27">
        <f>C14*L27</f>
        <v>0</v>
      </c>
      <c r="H14" s="27">
        <f>C14*L28</f>
        <v>0</v>
      </c>
      <c r="I14" s="27">
        <f t="shared" si="2"/>
        <v>0</v>
      </c>
      <c r="J14" s="27">
        <f>C14*L29</f>
        <v>0</v>
      </c>
      <c r="K14" s="27"/>
      <c r="L14" s="27"/>
      <c r="M14" s="27"/>
    </row>
    <row r="15" ht="14.25" customHeight="1">
      <c r="A15" s="41" t="s">
        <v>104</v>
      </c>
      <c r="B15" s="25">
        <v>0.0</v>
      </c>
      <c r="C15" s="27">
        <v>0.0</v>
      </c>
      <c r="D15" s="27">
        <v>0.0</v>
      </c>
      <c r="E15" s="27">
        <f t="shared" si="1"/>
        <v>0</v>
      </c>
      <c r="F15" s="27">
        <f>C15*L26</f>
        <v>0</v>
      </c>
      <c r="G15" s="27">
        <f>C15*L27</f>
        <v>0</v>
      </c>
      <c r="H15" s="27">
        <f>C15*L28</f>
        <v>0</v>
      </c>
      <c r="I15" s="27">
        <f t="shared" si="2"/>
        <v>0</v>
      </c>
      <c r="J15" s="27">
        <f>C15*L29</f>
        <v>0</v>
      </c>
      <c r="K15" s="27"/>
      <c r="L15" s="27"/>
      <c r="M15" s="27"/>
    </row>
    <row r="16" ht="14.25" customHeight="1">
      <c r="A16" s="41" t="s">
        <v>104</v>
      </c>
      <c r="B16" s="25">
        <v>0.0</v>
      </c>
      <c r="C16" s="27">
        <v>0.0</v>
      </c>
      <c r="D16" s="27">
        <v>0.0</v>
      </c>
      <c r="E16" s="27">
        <f t="shared" si="1"/>
        <v>0</v>
      </c>
      <c r="F16" s="27">
        <f>C16*L26</f>
        <v>0</v>
      </c>
      <c r="G16" s="27">
        <f>C16*L27</f>
        <v>0</v>
      </c>
      <c r="H16" s="27">
        <f>C16*L28</f>
        <v>0</v>
      </c>
      <c r="I16" s="27">
        <f t="shared" si="2"/>
        <v>0</v>
      </c>
      <c r="J16" s="27">
        <f>C16*L29</f>
        <v>0</v>
      </c>
      <c r="K16" s="27"/>
      <c r="L16" s="27"/>
      <c r="M16" s="27"/>
    </row>
    <row r="17" ht="14.25" customHeight="1">
      <c r="A17" s="41" t="s">
        <v>104</v>
      </c>
      <c r="B17" s="25">
        <v>0.0</v>
      </c>
      <c r="C17" s="27">
        <v>0.0</v>
      </c>
      <c r="D17" s="38"/>
      <c r="E17" s="27">
        <f t="shared" si="1"/>
        <v>0</v>
      </c>
      <c r="F17" s="38">
        <f>C17*L26</f>
        <v>0</v>
      </c>
      <c r="G17" s="38">
        <f>C17*L27</f>
        <v>0</v>
      </c>
      <c r="H17" s="38">
        <f>C17*L28</f>
        <v>0</v>
      </c>
      <c r="I17" s="38">
        <f t="shared" si="2"/>
        <v>0</v>
      </c>
      <c r="J17" s="38">
        <f>C17*L29</f>
        <v>0</v>
      </c>
      <c r="K17" s="38"/>
      <c r="L17" s="38"/>
      <c r="M17" s="27"/>
    </row>
    <row r="18" ht="14.25" customHeight="1">
      <c r="A18" s="42" t="s">
        <v>153</v>
      </c>
      <c r="B18" s="25">
        <f t="shared" ref="B18:D18" si="6">SUM(B2:B17)</f>
        <v>6.3</v>
      </c>
      <c r="C18" s="39">
        <f t="shared" si="6"/>
        <v>376922.0475</v>
      </c>
      <c r="D18" s="39">
        <f t="shared" si="6"/>
        <v>7200</v>
      </c>
      <c r="E18" s="39">
        <f t="shared" si="1"/>
        <v>384122.0475</v>
      </c>
      <c r="F18" s="39">
        <f t="shared" ref="F18:J18" si="7">SUM(F2:F17)</f>
        <v>33922.98428</v>
      </c>
      <c r="G18" s="39">
        <f t="shared" si="7"/>
        <v>8141.516226</v>
      </c>
      <c r="H18" s="39">
        <f t="shared" si="7"/>
        <v>2186.147876</v>
      </c>
      <c r="I18" s="39">
        <f t="shared" si="7"/>
        <v>421172.6959</v>
      </c>
      <c r="J18" s="39">
        <f t="shared" si="7"/>
        <v>5465.369689</v>
      </c>
      <c r="K18" s="27"/>
      <c r="L18" s="39">
        <f>(B18-1)*L31</f>
        <v>42400</v>
      </c>
      <c r="M18" s="27"/>
    </row>
    <row r="19" ht="14.25" customHeight="1">
      <c r="A19" s="41" t="s">
        <v>195</v>
      </c>
      <c r="B19" s="25"/>
      <c r="C19" s="27"/>
      <c r="D19" s="27"/>
      <c r="E19" s="27">
        <f t="shared" si="1"/>
        <v>0</v>
      </c>
      <c r="F19" s="27"/>
      <c r="G19" s="27"/>
      <c r="H19" s="27"/>
      <c r="I19" s="27"/>
      <c r="J19" s="27"/>
      <c r="K19" s="27"/>
      <c r="L19" s="27"/>
      <c r="M19" s="27"/>
    </row>
    <row r="20" ht="14.25" customHeight="1">
      <c r="A20" s="41" t="s">
        <v>196</v>
      </c>
      <c r="B20" s="25">
        <v>0.0</v>
      </c>
      <c r="C20" s="27">
        <v>0.0</v>
      </c>
      <c r="D20" s="27"/>
      <c r="E20" s="27">
        <f t="shared" si="1"/>
        <v>0</v>
      </c>
      <c r="F20" s="27"/>
      <c r="G20" s="27"/>
      <c r="H20" s="27"/>
      <c r="I20" s="27"/>
      <c r="J20" s="27">
        <v>0.0</v>
      </c>
      <c r="K20" s="27">
        <v>0.0</v>
      </c>
      <c r="L20" s="27"/>
      <c r="M20" s="27"/>
    </row>
    <row r="21" ht="14.25" customHeight="1">
      <c r="A21" s="41" t="s">
        <v>104</v>
      </c>
      <c r="B21" s="36">
        <v>0.0</v>
      </c>
      <c r="C21" s="38">
        <v>0.0</v>
      </c>
      <c r="D21" s="38"/>
      <c r="E21" s="38">
        <f t="shared" si="1"/>
        <v>0</v>
      </c>
      <c r="F21" s="38"/>
      <c r="G21" s="38"/>
      <c r="H21" s="38"/>
      <c r="I21" s="38"/>
      <c r="J21" s="38">
        <v>0.0</v>
      </c>
      <c r="K21" s="38">
        <v>0.0</v>
      </c>
      <c r="L21" s="27"/>
      <c r="M21" s="27"/>
    </row>
    <row r="22" ht="14.25" customHeight="1">
      <c r="A22" s="42" t="s">
        <v>197</v>
      </c>
      <c r="B22" s="25">
        <f t="shared" ref="B22:K22" si="8">SUM(B20:B21)</f>
        <v>0</v>
      </c>
      <c r="C22" s="27">
        <f t="shared" si="8"/>
        <v>0</v>
      </c>
      <c r="D22" s="27">
        <f t="shared" si="8"/>
        <v>0</v>
      </c>
      <c r="E22" s="27">
        <f t="shared" si="8"/>
        <v>0</v>
      </c>
      <c r="F22" s="27">
        <f t="shared" si="8"/>
        <v>0</v>
      </c>
      <c r="G22" s="27">
        <f t="shared" si="8"/>
        <v>0</v>
      </c>
      <c r="H22" s="27">
        <f t="shared" si="8"/>
        <v>0</v>
      </c>
      <c r="I22" s="27">
        <f t="shared" si="8"/>
        <v>0</v>
      </c>
      <c r="J22" s="27">
        <f t="shared" si="8"/>
        <v>0</v>
      </c>
      <c r="K22" s="27">
        <f t="shared" si="8"/>
        <v>0</v>
      </c>
      <c r="L22" s="27"/>
      <c r="M22" s="27"/>
    </row>
    <row r="23" ht="14.25" customHeight="1">
      <c r="B23" s="25" t="s">
        <v>104</v>
      </c>
      <c r="C23" s="39" t="s">
        <v>104</v>
      </c>
      <c r="D23" s="39" t="s">
        <v>198</v>
      </c>
      <c r="E23" s="39" t="s">
        <v>104</v>
      </c>
      <c r="F23" s="39" t="s">
        <v>104</v>
      </c>
      <c r="G23" s="39" t="s">
        <v>104</v>
      </c>
      <c r="H23" s="39" t="s">
        <v>104</v>
      </c>
      <c r="I23" s="39" t="s">
        <v>104</v>
      </c>
      <c r="J23" s="39" t="s">
        <v>104</v>
      </c>
      <c r="K23" s="39" t="s">
        <v>104</v>
      </c>
      <c r="L23" s="39" t="s">
        <v>104</v>
      </c>
      <c r="M23" s="27"/>
    </row>
    <row r="24" ht="14.25" customHeight="1">
      <c r="C24" s="27"/>
      <c r="D24" s="27"/>
      <c r="E24" s="27" t="s">
        <v>104</v>
      </c>
      <c r="F24" s="27"/>
      <c r="G24" s="27"/>
      <c r="H24" s="27"/>
      <c r="I24" s="27"/>
      <c r="J24" s="27"/>
      <c r="K24" s="27"/>
      <c r="L24" s="27"/>
      <c r="M24" s="27"/>
    </row>
    <row r="25" ht="14.25" customHeight="1">
      <c r="A25" s="41" t="s">
        <v>199</v>
      </c>
      <c r="D25" s="43"/>
      <c r="E25" s="43" t="s">
        <v>104</v>
      </c>
      <c r="F25" s="43"/>
      <c r="G25" s="43"/>
      <c r="H25" s="43"/>
      <c r="I25" s="43"/>
      <c r="J25" s="43"/>
      <c r="K25" s="43"/>
      <c r="L25" s="43"/>
    </row>
    <row r="26" ht="14.25" customHeight="1">
      <c r="A26" s="41" t="s">
        <v>107</v>
      </c>
      <c r="B26" s="41" t="s">
        <v>104</v>
      </c>
      <c r="C26" s="44">
        <f>(B18*10000)*0.014</f>
        <v>882</v>
      </c>
      <c r="D26" s="43"/>
      <c r="E26" s="43" t="s">
        <v>108</v>
      </c>
      <c r="F26" s="27">
        <v>100.0</v>
      </c>
      <c r="G26" s="45">
        <f>E18</f>
        <v>384122.0475</v>
      </c>
      <c r="J26" s="43"/>
      <c r="K26" s="43" t="s">
        <v>109</v>
      </c>
      <c r="L26" s="41">
        <v>0.09</v>
      </c>
    </row>
    <row r="27" ht="14.25" customHeight="1">
      <c r="A27" s="41" t="s">
        <v>110</v>
      </c>
      <c r="C27" s="44">
        <f>C18*0.0065</f>
        <v>2449.993309</v>
      </c>
      <c r="E27" s="41" t="s">
        <v>111</v>
      </c>
      <c r="F27" s="41">
        <v>200.0</v>
      </c>
      <c r="G27" s="45">
        <f>F18+G18+H18+J18+L18</f>
        <v>92116.01807</v>
      </c>
      <c r="K27" s="41" t="s">
        <v>112</v>
      </c>
      <c r="L27" s="41">
        <v>0.0216</v>
      </c>
    </row>
    <row r="28" ht="14.25" customHeight="1">
      <c r="A28" s="41" t="s">
        <v>113</v>
      </c>
      <c r="C28" s="44">
        <v>15000.0</v>
      </c>
      <c r="E28" s="41" t="s">
        <v>114</v>
      </c>
      <c r="F28" s="41">
        <v>300.0</v>
      </c>
      <c r="G28" s="45">
        <f t="shared" ref="G28:G29" si="9">C30</f>
        <v>27331.99331</v>
      </c>
      <c r="K28" s="41" t="s">
        <v>115</v>
      </c>
      <c r="L28" s="41">
        <v>0.0058</v>
      </c>
    </row>
    <row r="29" ht="14.25" customHeight="1">
      <c r="A29" s="41" t="s">
        <v>195</v>
      </c>
      <c r="C29" s="46">
        <f>C22+9000</f>
        <v>9000</v>
      </c>
      <c r="E29" s="41" t="s">
        <v>117</v>
      </c>
      <c r="F29" s="41">
        <v>400.0</v>
      </c>
      <c r="G29" s="45">
        <f t="shared" si="9"/>
        <v>10000</v>
      </c>
      <c r="K29" s="41" t="s">
        <v>118</v>
      </c>
      <c r="L29" s="41">
        <v>0.0145</v>
      </c>
    </row>
    <row r="30" ht="14.25" customHeight="1">
      <c r="A30" s="42" t="s">
        <v>119</v>
      </c>
      <c r="C30" s="45">
        <f>SUM(C26:C29)</f>
        <v>27331.99331</v>
      </c>
      <c r="E30" s="47" t="s">
        <v>120</v>
      </c>
      <c r="F30" s="47">
        <v>500.0</v>
      </c>
      <c r="G30" s="48">
        <v>2400.0</v>
      </c>
      <c r="K30" s="41" t="s">
        <v>121</v>
      </c>
      <c r="L30" s="41">
        <v>0.062</v>
      </c>
    </row>
    <row r="31" ht="14.25" customHeight="1">
      <c r="A31" s="42" t="s">
        <v>200</v>
      </c>
      <c r="C31" s="45">
        <v>10000.0</v>
      </c>
      <c r="K31" s="41" t="s">
        <v>123</v>
      </c>
      <c r="L31" s="71">
        <f>SSW!L31</f>
        <v>8000</v>
      </c>
    </row>
    <row r="32" ht="14.25" customHeight="1">
      <c r="A32" s="42" t="s">
        <v>201</v>
      </c>
      <c r="C32" s="45">
        <v>1200.0</v>
      </c>
      <c r="E32" s="42" t="s">
        <v>202</v>
      </c>
      <c r="F32" s="42"/>
      <c r="G32" s="49">
        <f>SUM(G26:G31)</f>
        <v>515970.0589</v>
      </c>
      <c r="K32" s="41" t="s">
        <v>126</v>
      </c>
      <c r="L32" s="41">
        <v>0.0065</v>
      </c>
    </row>
    <row r="33" ht="14.25" customHeight="1">
      <c r="K33" s="41" t="s">
        <v>128</v>
      </c>
      <c r="L33" s="41">
        <v>0.014</v>
      </c>
    </row>
    <row r="34" ht="14.25" customHeight="1">
      <c r="M34" s="4"/>
      <c r="N34" s="4"/>
      <c r="O34" s="4"/>
      <c r="P34" s="4"/>
      <c r="Q34" s="75"/>
      <c r="R34" s="76" t="s">
        <v>203</v>
      </c>
      <c r="S34" s="4"/>
      <c r="T34" s="4"/>
      <c r="U34" s="4"/>
      <c r="V34" s="75"/>
      <c r="W34" s="75"/>
      <c r="X34" s="4"/>
    </row>
    <row r="35" ht="14.25" customHeight="1">
      <c r="M35" s="4"/>
      <c r="N35" s="4"/>
      <c r="O35" s="4"/>
      <c r="P35" s="77"/>
      <c r="Q35" s="78"/>
      <c r="R35" s="79" t="s">
        <v>204</v>
      </c>
      <c r="S35" s="80"/>
      <c r="T35" s="78"/>
      <c r="U35" s="78"/>
      <c r="V35" s="75"/>
      <c r="W35" s="75"/>
      <c r="X35" s="4"/>
    </row>
    <row r="36" ht="14.25" customHeight="1">
      <c r="M36" s="4"/>
      <c r="N36" s="81" t="s">
        <v>0</v>
      </c>
    </row>
    <row r="37" ht="14.25" customHeight="1">
      <c r="M37" s="4"/>
      <c r="N37" s="82" t="s">
        <v>205</v>
      </c>
    </row>
    <row r="38" ht="14.25" customHeight="1">
      <c r="M38" s="4"/>
      <c r="N38" s="83" t="s">
        <v>206</v>
      </c>
    </row>
    <row r="39" ht="14.25" customHeight="1">
      <c r="M39" s="4"/>
      <c r="N39" s="4" t="s">
        <v>207</v>
      </c>
      <c r="O39" s="4"/>
      <c r="P39" s="75"/>
      <c r="Q39" s="75"/>
      <c r="R39" s="4"/>
      <c r="S39" s="4"/>
      <c r="T39" s="4"/>
      <c r="U39" s="4"/>
      <c r="V39" s="75"/>
      <c r="W39" s="75"/>
      <c r="X39" s="4"/>
    </row>
    <row r="40" ht="14.25" customHeight="1">
      <c r="N40" s="84" t="s">
        <v>208</v>
      </c>
      <c r="O40" s="84"/>
      <c r="P40" s="85">
        <f>N11</f>
        <v>476238.0656</v>
      </c>
      <c r="Q40" s="86"/>
      <c r="R40" s="86"/>
      <c r="S40" s="84">
        <f>3.8*9000</f>
        <v>34200</v>
      </c>
      <c r="T40" s="86"/>
      <c r="U40" s="87"/>
      <c r="V40" s="84"/>
      <c r="W40" s="86" t="s">
        <v>209</v>
      </c>
      <c r="X40" s="86">
        <f>(N11/O58)</f>
        <v>78071.81403</v>
      </c>
    </row>
    <row r="41" ht="14.25" customHeight="1">
      <c r="M41" s="84"/>
      <c r="N41" s="84"/>
      <c r="O41" s="84"/>
      <c r="P41" s="86"/>
      <c r="Q41" s="86"/>
      <c r="R41" s="84"/>
      <c r="S41" s="84"/>
      <c r="T41" s="84"/>
      <c r="U41" s="84"/>
      <c r="V41" s="86"/>
      <c r="W41" s="86"/>
      <c r="X41" s="84"/>
    </row>
    <row r="42" ht="14.25" customHeight="1">
      <c r="M42" s="84"/>
      <c r="N42" s="84"/>
      <c r="O42" s="84"/>
      <c r="P42" s="86"/>
      <c r="Q42" s="86"/>
      <c r="R42" s="84"/>
      <c r="S42" s="84"/>
      <c r="T42" s="84"/>
      <c r="U42" s="84"/>
      <c r="V42" s="86"/>
      <c r="W42" s="86"/>
      <c r="X42" s="84"/>
    </row>
    <row r="43" ht="14.25" customHeight="1"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ht="14.25" customHeight="1">
      <c r="M44" s="78"/>
      <c r="N44" s="84"/>
      <c r="O44" s="84"/>
      <c r="P44" s="84"/>
      <c r="Q44" s="84"/>
      <c r="R44" s="88" t="s">
        <v>210</v>
      </c>
      <c r="S44" s="84"/>
      <c r="T44" s="87"/>
      <c r="U44" s="76" t="s">
        <v>211</v>
      </c>
      <c r="V44" s="84"/>
      <c r="W44" s="84"/>
      <c r="X44" s="83" t="s">
        <v>212</v>
      </c>
    </row>
    <row r="45" ht="14.25" customHeight="1">
      <c r="M45" s="89"/>
      <c r="N45" s="76"/>
      <c r="O45" s="90" t="s">
        <v>213</v>
      </c>
      <c r="P45" s="83" t="s">
        <v>214</v>
      </c>
      <c r="Q45" s="83"/>
      <c r="R45" s="88" t="s">
        <v>129</v>
      </c>
      <c r="S45" s="84"/>
      <c r="T45" s="87"/>
      <c r="U45" s="76" t="s">
        <v>215</v>
      </c>
      <c r="V45" s="83"/>
      <c r="W45" s="76"/>
      <c r="X45" s="76" t="s">
        <v>216</v>
      </c>
    </row>
    <row r="46" ht="14.25" customHeight="1">
      <c r="M46" s="79"/>
      <c r="N46" s="76"/>
      <c r="O46" s="76" t="s">
        <v>48</v>
      </c>
      <c r="P46" s="83" t="s">
        <v>217</v>
      </c>
      <c r="Q46" s="83"/>
      <c r="R46" s="88" t="s">
        <v>218</v>
      </c>
      <c r="S46" s="84"/>
      <c r="T46" s="87"/>
      <c r="U46" s="76" t="s">
        <v>219</v>
      </c>
      <c r="V46" s="76"/>
      <c r="W46" s="76"/>
      <c r="X46" s="76" t="s">
        <v>219</v>
      </c>
    </row>
    <row r="47" ht="14.25" customHeight="1">
      <c r="N47" s="91" t="s">
        <v>61</v>
      </c>
      <c r="O47" s="92">
        <v>1.0</v>
      </c>
      <c r="P47" s="93">
        <f t="shared" ref="P47:P57" si="10">$X$40*O47</f>
        <v>78071.81403</v>
      </c>
      <c r="Q47" s="94"/>
      <c r="R47" s="93">
        <f t="shared" ref="R47:R57" si="11">($R$58/$O$58)*O47</f>
        <v>5606.557377</v>
      </c>
      <c r="S47" s="95"/>
      <c r="T47" s="96"/>
      <c r="U47" s="93">
        <f t="shared" ref="U47:U57" si="12">P47-R47</f>
        <v>72465.25665</v>
      </c>
      <c r="V47" s="95"/>
      <c r="W47" s="95"/>
      <c r="X47" s="97">
        <f t="shared" ref="X47:X57" si="13">U47/2</f>
        <v>36232.62833</v>
      </c>
    </row>
    <row r="48" ht="14.25" customHeight="1">
      <c r="N48" s="98" t="s">
        <v>64</v>
      </c>
      <c r="O48" s="99">
        <v>0.5</v>
      </c>
      <c r="P48" s="93">
        <f t="shared" si="10"/>
        <v>39035.90701</v>
      </c>
      <c r="Q48" s="100"/>
      <c r="R48" s="93">
        <f t="shared" si="11"/>
        <v>2803.278689</v>
      </c>
      <c r="S48" s="101"/>
      <c r="T48" s="102"/>
      <c r="U48" s="93">
        <f t="shared" si="12"/>
        <v>36232.62833</v>
      </c>
      <c r="V48" s="101"/>
      <c r="W48" s="101"/>
      <c r="X48" s="97">
        <f t="shared" si="13"/>
        <v>18116.31416</v>
      </c>
    </row>
    <row r="49" ht="14.25" customHeight="1">
      <c r="N49" s="103" t="s">
        <v>220</v>
      </c>
      <c r="O49" s="99">
        <v>0.2</v>
      </c>
      <c r="P49" s="93">
        <f t="shared" si="10"/>
        <v>15614.36281</v>
      </c>
      <c r="Q49" s="100"/>
      <c r="R49" s="93">
        <f t="shared" si="11"/>
        <v>1121.311475</v>
      </c>
      <c r="S49" s="101"/>
      <c r="T49" s="102"/>
      <c r="U49" s="93">
        <f t="shared" si="12"/>
        <v>14493.05133</v>
      </c>
      <c r="V49" s="101"/>
      <c r="W49" s="101"/>
      <c r="X49" s="97">
        <f t="shared" si="13"/>
        <v>7246.525665</v>
      </c>
    </row>
    <row r="50" ht="14.25" customHeight="1">
      <c r="N50" s="103" t="s">
        <v>221</v>
      </c>
      <c r="O50" s="99">
        <v>1.0</v>
      </c>
      <c r="P50" s="93">
        <f t="shared" si="10"/>
        <v>78071.81403</v>
      </c>
      <c r="Q50" s="100"/>
      <c r="R50" s="93">
        <f t="shared" si="11"/>
        <v>5606.557377</v>
      </c>
      <c r="S50" s="101"/>
      <c r="T50" s="102"/>
      <c r="U50" s="93">
        <f t="shared" si="12"/>
        <v>72465.25665</v>
      </c>
      <c r="V50" s="101"/>
      <c r="W50" s="101"/>
      <c r="X50" s="97">
        <f t="shared" si="13"/>
        <v>36232.62833</v>
      </c>
    </row>
    <row r="51" ht="14.25" customHeight="1">
      <c r="N51" s="98" t="s">
        <v>222</v>
      </c>
      <c r="O51" s="99">
        <v>0.1</v>
      </c>
      <c r="P51" s="93">
        <f t="shared" si="10"/>
        <v>7807.181403</v>
      </c>
      <c r="Q51" s="100"/>
      <c r="R51" s="93">
        <f t="shared" si="11"/>
        <v>560.6557377</v>
      </c>
      <c r="S51" s="101"/>
      <c r="T51" s="102"/>
      <c r="U51" s="93">
        <f t="shared" si="12"/>
        <v>7246.525665</v>
      </c>
      <c r="V51" s="101"/>
      <c r="W51" s="101"/>
      <c r="X51" s="97">
        <f t="shared" si="13"/>
        <v>3623.262833</v>
      </c>
    </row>
    <row r="52" ht="14.25" customHeight="1">
      <c r="N52" s="98" t="s">
        <v>223</v>
      </c>
      <c r="O52" s="99">
        <v>0.4</v>
      </c>
      <c r="P52" s="93">
        <f t="shared" si="10"/>
        <v>31228.72561</v>
      </c>
      <c r="Q52" s="100"/>
      <c r="R52" s="93">
        <f t="shared" si="11"/>
        <v>2242.622951</v>
      </c>
      <c r="S52" s="101"/>
      <c r="T52" s="102"/>
      <c r="U52" s="93">
        <f t="shared" si="12"/>
        <v>28986.10266</v>
      </c>
      <c r="V52" s="101"/>
      <c r="W52" s="101"/>
      <c r="X52" s="97">
        <f t="shared" si="13"/>
        <v>14493.05133</v>
      </c>
    </row>
    <row r="53" ht="14.25" customHeight="1">
      <c r="N53" s="98" t="s">
        <v>224</v>
      </c>
      <c r="O53" s="104">
        <v>1.0</v>
      </c>
      <c r="P53" s="93">
        <f t="shared" si="10"/>
        <v>78071.81403</v>
      </c>
      <c r="Q53" s="100"/>
      <c r="R53" s="93">
        <f t="shared" si="11"/>
        <v>5606.557377</v>
      </c>
      <c r="S53" s="101"/>
      <c r="T53" s="102"/>
      <c r="U53" s="93">
        <f t="shared" si="12"/>
        <v>72465.25665</v>
      </c>
      <c r="V53" s="101"/>
      <c r="W53" s="101"/>
      <c r="X53" s="97">
        <f t="shared" si="13"/>
        <v>36232.62833</v>
      </c>
    </row>
    <row r="54" ht="14.25" customHeight="1">
      <c r="N54" s="98" t="s">
        <v>225</v>
      </c>
      <c r="O54" s="99">
        <v>1.0</v>
      </c>
      <c r="P54" s="93">
        <f t="shared" si="10"/>
        <v>78071.81403</v>
      </c>
      <c r="Q54" s="100"/>
      <c r="R54" s="93">
        <f t="shared" si="11"/>
        <v>5606.557377</v>
      </c>
      <c r="S54" s="101"/>
      <c r="T54" s="102"/>
      <c r="U54" s="93">
        <f t="shared" si="12"/>
        <v>72465.25665</v>
      </c>
      <c r="V54" s="101"/>
      <c r="W54" s="101"/>
      <c r="X54" s="97">
        <f t="shared" si="13"/>
        <v>36232.62833</v>
      </c>
    </row>
    <row r="55" ht="14.25" customHeight="1">
      <c r="N55" s="105" t="s">
        <v>62</v>
      </c>
      <c r="O55" s="106">
        <v>0.9</v>
      </c>
      <c r="P55" s="93">
        <f t="shared" si="10"/>
        <v>70264.63262</v>
      </c>
      <c r="Q55" s="107"/>
      <c r="R55" s="93">
        <f t="shared" si="11"/>
        <v>5045.901639</v>
      </c>
      <c r="S55" s="84"/>
      <c r="T55" s="84"/>
      <c r="U55" s="93">
        <f t="shared" si="12"/>
        <v>65218.73099</v>
      </c>
      <c r="V55" s="84"/>
      <c r="W55" s="84"/>
      <c r="X55" s="97">
        <f t="shared" si="13"/>
        <v>32609.36549</v>
      </c>
    </row>
    <row r="56" ht="14.25" customHeight="1">
      <c r="N56" s="105" t="s">
        <v>226</v>
      </c>
      <c r="O56" s="108">
        <v>0.0</v>
      </c>
      <c r="P56" s="93">
        <f t="shared" si="10"/>
        <v>0</v>
      </c>
      <c r="Q56" s="107"/>
      <c r="R56" s="93">
        <f t="shared" si="11"/>
        <v>0</v>
      </c>
      <c r="S56" s="84"/>
      <c r="T56" s="84"/>
      <c r="U56" s="93">
        <f t="shared" si="12"/>
        <v>0</v>
      </c>
      <c r="V56" s="84"/>
      <c r="W56" s="84"/>
      <c r="X56" s="97">
        <f t="shared" si="13"/>
        <v>0</v>
      </c>
    </row>
    <row r="57" ht="14.25" customHeight="1">
      <c r="N57" s="105" t="s">
        <v>63</v>
      </c>
      <c r="O57" s="109">
        <v>0.0</v>
      </c>
      <c r="P57" s="93">
        <f t="shared" si="10"/>
        <v>0</v>
      </c>
      <c r="Q57" s="110"/>
      <c r="R57" s="93">
        <f t="shared" si="11"/>
        <v>0</v>
      </c>
      <c r="S57" s="84"/>
      <c r="T57" s="84"/>
      <c r="U57" s="93">
        <f t="shared" si="12"/>
        <v>0</v>
      </c>
      <c r="V57" s="84"/>
      <c r="W57" s="84"/>
      <c r="X57" s="97">
        <f t="shared" si="13"/>
        <v>0</v>
      </c>
    </row>
    <row r="58" ht="14.25" customHeight="1">
      <c r="N58" s="86" t="s">
        <v>197</v>
      </c>
      <c r="O58" s="108">
        <f t="shared" ref="O58:P58" si="14">SUM(O47:O57)</f>
        <v>6.1</v>
      </c>
      <c r="P58" s="111">
        <f t="shared" si="14"/>
        <v>476238.0656</v>
      </c>
      <c r="Q58" s="107"/>
      <c r="R58" s="111">
        <v>34200.0</v>
      </c>
      <c r="S58" s="84"/>
      <c r="T58" s="84"/>
      <c r="U58" s="111">
        <f>SUM(U47:U57)</f>
        <v>442038.0656</v>
      </c>
      <c r="V58" s="84"/>
      <c r="W58" s="84"/>
      <c r="X58" s="112">
        <f>SUM(X47:X57)</f>
        <v>221019.0328</v>
      </c>
    </row>
    <row r="59" ht="14.25" customHeight="1">
      <c r="M59" s="89"/>
      <c r="N59" s="113"/>
      <c r="O59" s="114"/>
      <c r="P59" s="115"/>
      <c r="Q59" s="115"/>
      <c r="R59" s="115"/>
      <c r="S59" s="78"/>
      <c r="T59" s="78"/>
      <c r="U59" s="113"/>
      <c r="V59" s="77"/>
      <c r="W59" s="77"/>
      <c r="X59" s="77"/>
    </row>
    <row r="60" ht="14.25" customHeight="1">
      <c r="M60" s="116"/>
      <c r="N60" s="117"/>
      <c r="O60" s="5"/>
      <c r="P60" s="118"/>
      <c r="Q60" s="118"/>
      <c r="R60" s="119"/>
      <c r="S60" s="5"/>
      <c r="T60" s="120"/>
      <c r="U60" s="121"/>
      <c r="V60" s="121"/>
      <c r="W60" s="121"/>
      <c r="X60" s="121"/>
      <c r="Y60" s="122"/>
    </row>
    <row r="61" ht="14.25" customHeight="1">
      <c r="M61" s="4"/>
      <c r="N61" s="123" t="s">
        <v>227</v>
      </c>
      <c r="O61" s="4"/>
      <c r="P61" s="4"/>
      <c r="Q61" s="4"/>
      <c r="R61" s="4"/>
      <c r="S61" s="4"/>
      <c r="T61" s="4"/>
      <c r="U61" s="75"/>
      <c r="V61" s="75"/>
      <c r="W61" s="75"/>
      <c r="X61" s="75"/>
    </row>
    <row r="62" ht="14.25" customHeight="1">
      <c r="M62" s="116"/>
      <c r="N62" s="123"/>
      <c r="O62" s="4"/>
      <c r="P62" s="4"/>
      <c r="Q62" s="4"/>
      <c r="R62" s="4"/>
      <c r="S62" s="4"/>
      <c r="T62" s="4"/>
      <c r="U62" s="75"/>
      <c r="V62" s="75"/>
      <c r="W62" s="75"/>
      <c r="X62" s="75"/>
    </row>
    <row r="63" ht="14.25" customHeight="1">
      <c r="M63" s="84"/>
      <c r="N63" s="123"/>
      <c r="O63" s="4"/>
      <c r="P63" s="4"/>
      <c r="Q63" s="4"/>
      <c r="R63" s="4"/>
      <c r="S63" s="4"/>
      <c r="T63" s="4"/>
      <c r="U63" s="75"/>
      <c r="V63" s="75"/>
      <c r="W63" s="75"/>
      <c r="X63" s="75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N36:Y36"/>
    <mergeCell ref="N37:Y37"/>
    <mergeCell ref="N38:Y38"/>
  </mergeCells>
  <printOptions/>
  <pageMargins bottom="0.75" footer="0.0" header="0.0" left="0.7" right="0.7" top="0.75"/>
  <pageSetup orientation="landscape"/>
  <rowBreaks count="1" manualBreakCount="1">
    <brk id="3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6.63"/>
    <col customWidth="1" min="2" max="2" width="7.63"/>
    <col customWidth="1" min="3" max="3" width="15.88"/>
    <col customWidth="1" min="4" max="6" width="7.63"/>
  </cols>
  <sheetData>
    <row r="1" ht="14.25" customHeight="1">
      <c r="A1" s="41" t="s">
        <v>228</v>
      </c>
    </row>
    <row r="2" ht="14.25" customHeight="1"/>
    <row r="3" ht="14.25" customHeight="1">
      <c r="A3" s="41" t="s">
        <v>229</v>
      </c>
    </row>
    <row r="4" ht="14.25" customHeight="1"/>
    <row r="5" ht="14.25" customHeight="1">
      <c r="A5" s="41" t="s">
        <v>230</v>
      </c>
      <c r="C5" s="44">
        <v>20000.0</v>
      </c>
    </row>
    <row r="6" ht="14.25" customHeight="1">
      <c r="A6" s="41" t="s">
        <v>231</v>
      </c>
      <c r="C6" s="46">
        <v>43500.0</v>
      </c>
    </row>
    <row r="7" ht="14.25" customHeight="1">
      <c r="C7" s="44"/>
    </row>
    <row r="8" ht="14.25" customHeight="1">
      <c r="A8" s="41" t="s">
        <v>232</v>
      </c>
      <c r="C8" s="45">
        <f>SUM(C5:C7)</f>
        <v>63500</v>
      </c>
    </row>
    <row r="9" ht="14.25" customHeight="1">
      <c r="C9" s="44"/>
    </row>
    <row r="10" ht="14.25" customHeight="1">
      <c r="C10" s="44"/>
    </row>
    <row r="11" ht="14.25" customHeight="1">
      <c r="C11" s="44"/>
    </row>
    <row r="12" ht="14.25" customHeight="1">
      <c r="C12" s="44"/>
    </row>
    <row r="13" ht="14.25" customHeight="1">
      <c r="A13" s="41" t="s">
        <v>233</v>
      </c>
      <c r="C13" s="44"/>
    </row>
    <row r="14" ht="14.25" customHeight="1">
      <c r="C14" s="44"/>
    </row>
    <row r="15" ht="14.25" customHeight="1">
      <c r="A15" s="41" t="s">
        <v>234</v>
      </c>
      <c r="C15" s="44">
        <v>10516.0</v>
      </c>
    </row>
    <row r="16" ht="14.25" customHeight="1">
      <c r="A16" s="41" t="s">
        <v>235</v>
      </c>
      <c r="C16" s="46">
        <v>4222.0</v>
      </c>
    </row>
    <row r="17" ht="14.25" customHeight="1">
      <c r="C17" s="44"/>
    </row>
    <row r="18" ht="14.25" customHeight="1">
      <c r="A18" s="41" t="s">
        <v>236</v>
      </c>
      <c r="C18" s="45">
        <f>SUM(C15:C17)</f>
        <v>14738</v>
      </c>
    </row>
    <row r="19" ht="14.25" customHeight="1">
      <c r="C19" s="44"/>
    </row>
    <row r="20" ht="14.25" customHeight="1">
      <c r="C20" s="44"/>
    </row>
    <row r="21" ht="14.25" customHeight="1">
      <c r="C21" s="44"/>
    </row>
    <row r="22" ht="14.25" customHeight="1">
      <c r="C22" s="44"/>
    </row>
    <row r="23" ht="14.25" customHeight="1">
      <c r="A23" s="41" t="s">
        <v>237</v>
      </c>
      <c r="C23" s="44"/>
    </row>
    <row r="24" ht="14.25" customHeight="1">
      <c r="C24" s="44"/>
    </row>
    <row r="25" ht="14.25" customHeight="1">
      <c r="A25" s="41" t="s">
        <v>238</v>
      </c>
      <c r="C25" s="44">
        <v>3000.0</v>
      </c>
    </row>
    <row r="26" ht="14.25" customHeight="1"/>
    <row r="27" ht="14.25" customHeight="1">
      <c r="A27" s="41" t="s">
        <v>239</v>
      </c>
      <c r="C27" s="45">
        <f>SUM(C25:C26)</f>
        <v>3000</v>
      </c>
    </row>
    <row r="28" ht="14.25" customHeight="1"/>
    <row r="29" ht="14.25" customHeight="1"/>
    <row r="30" ht="14.25" customHeight="1"/>
    <row r="31" ht="14.25" customHeight="1"/>
    <row r="32" ht="14.25" customHeight="1">
      <c r="A32" s="42" t="s">
        <v>240</v>
      </c>
      <c r="B32" s="45">
        <f>C8</f>
        <v>63500</v>
      </c>
    </row>
    <row r="33" ht="14.25" customHeight="1">
      <c r="A33" s="42" t="s">
        <v>241</v>
      </c>
      <c r="B33" s="45">
        <f>C18</f>
        <v>14738</v>
      </c>
    </row>
    <row r="34" ht="14.25" customHeight="1">
      <c r="A34" s="22" t="s">
        <v>242</v>
      </c>
      <c r="B34" s="48">
        <f>C27</f>
        <v>3000</v>
      </c>
    </row>
    <row r="35" ht="14.25" customHeight="1"/>
    <row r="36" ht="14.25" customHeight="1">
      <c r="B36" s="44">
        <f>SUM(B32:B35)</f>
        <v>81238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3.75"/>
    <col customWidth="1" min="3" max="3" width="8.88"/>
    <col customWidth="1" min="4" max="4" width="7.0"/>
    <col customWidth="1" min="5" max="5" width="8.75"/>
    <col customWidth="1" min="6" max="6" width="9.38"/>
    <col customWidth="1" min="7" max="7" width="9.25"/>
    <col customWidth="1" min="8" max="8" width="6.75"/>
    <col customWidth="1" min="9" max="9" width="9.63"/>
    <col customWidth="1" min="10" max="10" width="7.0"/>
    <col customWidth="1" min="11" max="11" width="7.38"/>
    <col customWidth="1" min="12" max="12" width="8.0"/>
    <col customWidth="1" min="13" max="26" width="7.63"/>
  </cols>
  <sheetData>
    <row r="1" ht="14.25" customHeight="1">
      <c r="A1" s="22" t="s">
        <v>47</v>
      </c>
      <c r="B1" s="22" t="s">
        <v>48</v>
      </c>
      <c r="C1" s="22" t="s">
        <v>49</v>
      </c>
      <c r="D1" s="23" t="s">
        <v>50</v>
      </c>
      <c r="E1" s="23" t="s">
        <v>51</v>
      </c>
      <c r="F1" s="23" t="s">
        <v>52</v>
      </c>
      <c r="G1" s="23" t="s">
        <v>53</v>
      </c>
      <c r="H1" s="23" t="s">
        <v>54</v>
      </c>
      <c r="I1" s="22" t="s">
        <v>55</v>
      </c>
      <c r="J1" s="23" t="s">
        <v>56</v>
      </c>
      <c r="K1" s="23" t="s">
        <v>57</v>
      </c>
      <c r="L1" s="23" t="s">
        <v>58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4.25" customHeight="1">
      <c r="A2" s="24" t="s">
        <v>243</v>
      </c>
      <c r="B2" s="25">
        <v>1.0</v>
      </c>
      <c r="C2" s="58">
        <f>166450*1.05</f>
        <v>174772.5</v>
      </c>
      <c r="D2" s="27">
        <v>0.0</v>
      </c>
      <c r="E2" s="27">
        <f t="shared" ref="E2:E9" si="1">D2+C2</f>
        <v>174772.5</v>
      </c>
      <c r="F2" s="27">
        <f>C2*L27</f>
        <v>15729.525</v>
      </c>
      <c r="G2" s="27">
        <f>C2*L28</f>
        <v>3775.086</v>
      </c>
      <c r="H2" s="27">
        <f>C2*L29</f>
        <v>1013.6805</v>
      </c>
      <c r="I2" s="27">
        <f t="shared" ref="I2:I7" si="2">C2+F2+G2+H2</f>
        <v>195290.7915</v>
      </c>
      <c r="J2" s="27">
        <f>C2*L30</f>
        <v>2534.20125</v>
      </c>
      <c r="K2" s="27"/>
      <c r="L2" s="27"/>
      <c r="M2" s="27">
        <f>C2/24</f>
        <v>7282.1875</v>
      </c>
    </row>
    <row r="3" ht="14.25" customHeight="1">
      <c r="A3" s="41" t="s">
        <v>104</v>
      </c>
      <c r="B3" s="25">
        <v>0.0</v>
      </c>
      <c r="C3" s="27">
        <v>0.0</v>
      </c>
      <c r="D3" s="27">
        <v>0.0</v>
      </c>
      <c r="E3" s="27">
        <f t="shared" si="1"/>
        <v>0</v>
      </c>
      <c r="F3" s="27">
        <f>C3*L27</f>
        <v>0</v>
      </c>
      <c r="G3" s="27">
        <f>C3*L28</f>
        <v>0</v>
      </c>
      <c r="H3" s="27">
        <f>C3*L29</f>
        <v>0</v>
      </c>
      <c r="I3" s="27">
        <f t="shared" si="2"/>
        <v>0</v>
      </c>
      <c r="J3" s="27">
        <f>C3*L30</f>
        <v>0</v>
      </c>
      <c r="K3" s="27"/>
      <c r="L3" s="27"/>
      <c r="M3" s="27"/>
    </row>
    <row r="4" ht="14.25" customHeight="1">
      <c r="A4" s="41" t="s">
        <v>104</v>
      </c>
      <c r="B4" s="25">
        <v>0.0</v>
      </c>
      <c r="C4" s="27">
        <v>0.0</v>
      </c>
      <c r="D4" s="27">
        <v>0.0</v>
      </c>
      <c r="E4" s="27">
        <f t="shared" si="1"/>
        <v>0</v>
      </c>
      <c r="F4" s="27">
        <f>C4*L27</f>
        <v>0</v>
      </c>
      <c r="G4" s="27">
        <f>C4*L28</f>
        <v>0</v>
      </c>
      <c r="H4" s="27">
        <f>C4*L29</f>
        <v>0</v>
      </c>
      <c r="I4" s="27">
        <f t="shared" si="2"/>
        <v>0</v>
      </c>
      <c r="J4" s="27">
        <f>C4*L30</f>
        <v>0</v>
      </c>
      <c r="K4" s="27"/>
      <c r="L4" s="27"/>
      <c r="M4" s="27"/>
    </row>
    <row r="5" ht="14.25" customHeight="1">
      <c r="A5" s="41" t="s">
        <v>104</v>
      </c>
      <c r="B5" s="25">
        <v>0.0</v>
      </c>
      <c r="C5" s="27">
        <v>0.0</v>
      </c>
      <c r="D5" s="27">
        <v>0.0</v>
      </c>
      <c r="E5" s="27">
        <f t="shared" si="1"/>
        <v>0</v>
      </c>
      <c r="F5" s="27">
        <f>C5*L27</f>
        <v>0</v>
      </c>
      <c r="G5" s="27">
        <f>C5*L28</f>
        <v>0</v>
      </c>
      <c r="H5" s="27">
        <f>C5*L29</f>
        <v>0</v>
      </c>
      <c r="I5" s="27">
        <f t="shared" si="2"/>
        <v>0</v>
      </c>
      <c r="J5" s="27">
        <f>C5*L30</f>
        <v>0</v>
      </c>
      <c r="K5" s="27"/>
      <c r="L5" s="27"/>
      <c r="M5" s="27"/>
    </row>
    <row r="6" ht="14.25" customHeight="1">
      <c r="A6" s="41" t="s">
        <v>104</v>
      </c>
      <c r="B6" s="25">
        <v>0.0</v>
      </c>
      <c r="C6" s="27">
        <v>0.0</v>
      </c>
      <c r="D6" s="27"/>
      <c r="E6" s="27">
        <f t="shared" si="1"/>
        <v>0</v>
      </c>
      <c r="F6" s="27">
        <f>C6*L27</f>
        <v>0</v>
      </c>
      <c r="G6" s="27">
        <f>C6*L28</f>
        <v>0</v>
      </c>
      <c r="H6" s="27">
        <f>C6*L29</f>
        <v>0</v>
      </c>
      <c r="I6" s="27">
        <f t="shared" si="2"/>
        <v>0</v>
      </c>
      <c r="J6" s="27">
        <f>C6*L30</f>
        <v>0</v>
      </c>
      <c r="K6" s="27"/>
      <c r="L6" s="27"/>
      <c r="M6" s="27"/>
    </row>
    <row r="7" ht="14.25" customHeight="1">
      <c r="A7" s="41" t="s">
        <v>104</v>
      </c>
      <c r="B7" s="36">
        <v>0.0</v>
      </c>
      <c r="C7" s="38">
        <v>0.0</v>
      </c>
      <c r="D7" s="38"/>
      <c r="E7" s="27">
        <f t="shared" si="1"/>
        <v>0</v>
      </c>
      <c r="F7" s="38">
        <f>C7*L27</f>
        <v>0</v>
      </c>
      <c r="G7" s="38">
        <f>C7*L28</f>
        <v>0</v>
      </c>
      <c r="H7" s="38">
        <f>C7*L29</f>
        <v>0</v>
      </c>
      <c r="I7" s="38">
        <f t="shared" si="2"/>
        <v>0</v>
      </c>
      <c r="J7" s="38">
        <f>C7*L30</f>
        <v>0</v>
      </c>
      <c r="K7" s="38"/>
      <c r="L7" s="38"/>
      <c r="M7" s="27"/>
    </row>
    <row r="8" ht="14.25" customHeight="1">
      <c r="A8" s="42" t="s">
        <v>244</v>
      </c>
      <c r="B8" s="25">
        <f t="shared" ref="B8:D8" si="3">SUM(B2:B7)</f>
        <v>1</v>
      </c>
      <c r="C8" s="39">
        <f t="shared" si="3"/>
        <v>174772.5</v>
      </c>
      <c r="D8" s="39">
        <f t="shared" si="3"/>
        <v>0</v>
      </c>
      <c r="E8" s="39">
        <f t="shared" si="1"/>
        <v>174772.5</v>
      </c>
      <c r="F8" s="39">
        <f t="shared" ref="F8:J8" si="4">SUM(F2:F7)</f>
        <v>15729.525</v>
      </c>
      <c r="G8" s="39">
        <f t="shared" si="4"/>
        <v>3775.086</v>
      </c>
      <c r="H8" s="39">
        <f t="shared" si="4"/>
        <v>1013.6805</v>
      </c>
      <c r="I8" s="39">
        <f t="shared" si="4"/>
        <v>195290.7915</v>
      </c>
      <c r="J8" s="39">
        <f t="shared" si="4"/>
        <v>2534.20125</v>
      </c>
      <c r="K8" s="27"/>
      <c r="L8" s="39">
        <f>B8*L32</f>
        <v>66</v>
      </c>
      <c r="M8" s="27"/>
    </row>
    <row r="9" ht="14.25" customHeight="1">
      <c r="A9" s="41" t="s">
        <v>104</v>
      </c>
      <c r="B9" s="25"/>
      <c r="C9" s="27"/>
      <c r="D9" s="27"/>
      <c r="E9" s="27">
        <f t="shared" si="1"/>
        <v>0</v>
      </c>
      <c r="F9" s="27"/>
      <c r="G9" s="27"/>
      <c r="H9" s="27"/>
      <c r="I9" s="27"/>
      <c r="J9" s="27"/>
      <c r="K9" s="27"/>
      <c r="L9" s="27"/>
      <c r="M9" s="27"/>
      <c r="N9" s="35">
        <v>174773.0</v>
      </c>
    </row>
    <row r="10" ht="14.25" customHeight="1"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5">
        <f t="shared" ref="N10:N13" si="5">N9*1.06</f>
        <v>185259.38</v>
      </c>
    </row>
    <row r="11" ht="14.25" customHeight="1"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55">
        <f t="shared" si="5"/>
        <v>196374.9428</v>
      </c>
    </row>
    <row r="12" ht="14.25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5">
        <f t="shared" si="5"/>
        <v>208157.4394</v>
      </c>
    </row>
    <row r="13" ht="14.25" customHeight="1">
      <c r="A13" s="42" t="s">
        <v>245</v>
      </c>
      <c r="B13" s="25"/>
      <c r="C13" s="27"/>
      <c r="D13" s="27"/>
      <c r="E13" s="27"/>
      <c r="F13" s="39" t="s">
        <v>246</v>
      </c>
      <c r="G13" s="27"/>
      <c r="H13" s="27"/>
      <c r="I13" s="27"/>
      <c r="J13" s="27"/>
      <c r="K13" s="27"/>
      <c r="L13" s="27"/>
      <c r="M13" s="27"/>
      <c r="N13" s="55">
        <f t="shared" si="5"/>
        <v>220646.8857</v>
      </c>
    </row>
    <row r="14" ht="14.25" customHeight="1">
      <c r="A14" s="41" t="s">
        <v>247</v>
      </c>
      <c r="B14" s="25"/>
      <c r="C14" s="27">
        <v>5000.0</v>
      </c>
      <c r="D14" s="27"/>
      <c r="E14" s="27"/>
      <c r="F14" s="27" t="s">
        <v>248</v>
      </c>
      <c r="G14" s="27"/>
      <c r="H14" s="39">
        <v>9250.0</v>
      </c>
      <c r="I14" s="27"/>
      <c r="J14" s="27"/>
      <c r="K14" s="27"/>
      <c r="L14" s="27"/>
      <c r="M14" s="27"/>
    </row>
    <row r="15" ht="14.25" customHeight="1">
      <c r="A15" s="41" t="s">
        <v>249</v>
      </c>
      <c r="B15" s="25"/>
      <c r="C15" s="27">
        <v>752.0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ht="14.25" customHeight="1">
      <c r="A16" s="41" t="s">
        <v>250</v>
      </c>
      <c r="B16" s="25"/>
      <c r="C16" s="27">
        <v>8000.0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14.25" customHeight="1">
      <c r="A17" s="41" t="s">
        <v>251</v>
      </c>
      <c r="B17" s="25"/>
      <c r="C17" s="27">
        <v>1000.0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ht="14.25" customHeight="1">
      <c r="A18" s="41" t="s">
        <v>252</v>
      </c>
      <c r="B18" s="25"/>
      <c r="C18" s="27">
        <v>11500.0</v>
      </c>
      <c r="D18" s="27"/>
      <c r="E18" s="27"/>
      <c r="F18" s="39" t="s">
        <v>253</v>
      </c>
      <c r="G18" s="27"/>
      <c r="H18" s="27"/>
      <c r="I18" s="27"/>
      <c r="J18" s="27"/>
      <c r="K18" s="27"/>
      <c r="L18" s="27"/>
      <c r="M18" s="27"/>
    </row>
    <row r="19" ht="14.25" customHeight="1">
      <c r="A19" s="41" t="s">
        <v>254</v>
      </c>
      <c r="B19" s="25"/>
      <c r="C19" s="27">
        <v>8000.0</v>
      </c>
      <c r="D19" s="27"/>
      <c r="E19" s="27"/>
      <c r="F19" s="27" t="s">
        <v>255</v>
      </c>
      <c r="G19" s="27"/>
      <c r="H19" s="39">
        <v>7000.0</v>
      </c>
      <c r="I19" s="27"/>
      <c r="J19" s="27"/>
      <c r="K19" s="27"/>
      <c r="L19" s="27"/>
      <c r="M19" s="27"/>
    </row>
    <row r="20" ht="14.25" customHeight="1">
      <c r="A20" s="41" t="s">
        <v>256</v>
      </c>
      <c r="B20" s="25" t="s">
        <v>104</v>
      </c>
      <c r="C20" s="27">
        <v>3500.0</v>
      </c>
      <c r="D20" s="27"/>
      <c r="E20" s="27" t="s">
        <v>104</v>
      </c>
      <c r="F20" s="27"/>
      <c r="G20" s="27"/>
      <c r="H20" s="27"/>
      <c r="I20" s="27"/>
      <c r="J20" s="27" t="s">
        <v>104</v>
      </c>
      <c r="K20" s="27" t="s">
        <v>104</v>
      </c>
      <c r="L20" s="27"/>
      <c r="M20" s="27"/>
    </row>
    <row r="21" ht="14.25" customHeight="1">
      <c r="A21" s="41" t="s">
        <v>257</v>
      </c>
      <c r="B21" s="25" t="s">
        <v>104</v>
      </c>
      <c r="C21" s="27">
        <v>12000.0</v>
      </c>
      <c r="D21" s="27"/>
      <c r="E21" s="27" t="s">
        <v>104</v>
      </c>
      <c r="F21" s="27"/>
      <c r="G21" s="27"/>
      <c r="H21" s="27"/>
      <c r="I21" s="27"/>
      <c r="J21" s="27" t="s">
        <v>104</v>
      </c>
      <c r="K21" s="27" t="s">
        <v>104</v>
      </c>
      <c r="L21" s="27"/>
      <c r="M21" s="27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4.25" customHeight="1">
      <c r="A22" s="41" t="s">
        <v>258</v>
      </c>
      <c r="B22" s="25" t="s">
        <v>104</v>
      </c>
      <c r="C22" s="27">
        <v>3000.0</v>
      </c>
      <c r="D22" s="27" t="s">
        <v>104</v>
      </c>
      <c r="E22" s="27" t="s">
        <v>104</v>
      </c>
      <c r="F22" s="27" t="s">
        <v>104</v>
      </c>
      <c r="G22" s="27" t="s">
        <v>104</v>
      </c>
      <c r="H22" s="27" t="s">
        <v>104</v>
      </c>
      <c r="I22" s="27" t="s">
        <v>104</v>
      </c>
      <c r="J22" s="27" t="s">
        <v>104</v>
      </c>
      <c r="K22" s="27" t="s">
        <v>104</v>
      </c>
      <c r="L22" s="27"/>
      <c r="M22" s="27"/>
    </row>
    <row r="23" ht="14.25" customHeight="1">
      <c r="A23" s="41" t="s">
        <v>259</v>
      </c>
      <c r="B23" s="25"/>
      <c r="C23" s="27">
        <v>5550.0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ht="14.25" customHeight="1">
      <c r="A24" s="41" t="s">
        <v>107</v>
      </c>
      <c r="B24" s="41" t="s">
        <v>104</v>
      </c>
      <c r="C24" s="44">
        <f>(B8*10000)*0.014</f>
        <v>140</v>
      </c>
      <c r="D24" s="27" t="s">
        <v>104</v>
      </c>
      <c r="E24" s="27" t="s">
        <v>104</v>
      </c>
      <c r="F24" s="27" t="s">
        <v>104</v>
      </c>
      <c r="G24" s="27" t="s">
        <v>104</v>
      </c>
      <c r="H24" s="27" t="s">
        <v>104</v>
      </c>
      <c r="I24" s="27" t="s">
        <v>104</v>
      </c>
      <c r="J24" s="27" t="s">
        <v>104</v>
      </c>
      <c r="K24" s="27" t="s">
        <v>104</v>
      </c>
      <c r="L24" s="27" t="s">
        <v>104</v>
      </c>
      <c r="M24" s="27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4.25" customHeight="1">
      <c r="A25" s="47" t="s">
        <v>110</v>
      </c>
      <c r="B25" s="47"/>
      <c r="C25" s="46">
        <f>C8*0.0065</f>
        <v>1136.02125</v>
      </c>
      <c r="D25" s="27"/>
      <c r="E25" s="27" t="s">
        <v>104</v>
      </c>
      <c r="F25" s="27"/>
      <c r="G25" s="27"/>
      <c r="H25" s="27"/>
      <c r="I25" s="27"/>
      <c r="J25" s="27"/>
      <c r="K25" s="27"/>
      <c r="L25" s="27"/>
      <c r="M25" s="27"/>
    </row>
    <row r="26" ht="14.25" customHeight="1">
      <c r="A26" s="41" t="s">
        <v>104</v>
      </c>
      <c r="B26" s="41"/>
      <c r="C26" s="44" t="s">
        <v>104</v>
      </c>
      <c r="D26" s="43"/>
      <c r="E26" s="43" t="s">
        <v>104</v>
      </c>
      <c r="F26" s="43"/>
      <c r="G26" s="43"/>
      <c r="H26" s="43"/>
      <c r="I26" s="43"/>
      <c r="J26" s="43"/>
      <c r="K26" s="43"/>
      <c r="L26" s="43"/>
    </row>
    <row r="27" ht="14.25" customHeight="1">
      <c r="A27" s="42" t="s">
        <v>119</v>
      </c>
      <c r="C27" s="45">
        <f>SUM(C14:C26)</f>
        <v>59578.02125</v>
      </c>
      <c r="D27" s="43"/>
      <c r="E27" s="43" t="s">
        <v>108</v>
      </c>
      <c r="F27" s="27" t="s">
        <v>260</v>
      </c>
      <c r="G27" s="45">
        <f>C8</f>
        <v>174772.5</v>
      </c>
      <c r="J27" s="43"/>
      <c r="K27" s="43" t="s">
        <v>109</v>
      </c>
      <c r="L27" s="41">
        <v>0.09</v>
      </c>
    </row>
    <row r="28" ht="14.25" customHeight="1">
      <c r="E28" s="41" t="s">
        <v>111</v>
      </c>
      <c r="F28" s="41" t="s">
        <v>261</v>
      </c>
      <c r="G28" s="45">
        <f>F8+G8+H8+J8+L8</f>
        <v>23118.49275</v>
      </c>
      <c r="K28" s="41" t="s">
        <v>112</v>
      </c>
      <c r="L28" s="41">
        <v>0.0216</v>
      </c>
    </row>
    <row r="29" ht="14.25" customHeight="1">
      <c r="E29" s="41" t="s">
        <v>114</v>
      </c>
      <c r="F29" s="41" t="s">
        <v>262</v>
      </c>
      <c r="G29" s="45">
        <f>C27</f>
        <v>59578.02125</v>
      </c>
      <c r="K29" s="41" t="s">
        <v>115</v>
      </c>
      <c r="L29" s="41">
        <v>0.0058</v>
      </c>
    </row>
    <row r="30" ht="14.25" customHeight="1">
      <c r="A30" s="41" t="s">
        <v>104</v>
      </c>
      <c r="C30" s="44" t="s">
        <v>104</v>
      </c>
      <c r="E30" s="41" t="s">
        <v>117</v>
      </c>
      <c r="F30" s="41" t="s">
        <v>263</v>
      </c>
      <c r="G30" s="45">
        <f>H14</f>
        <v>9250</v>
      </c>
      <c r="K30" s="41" t="s">
        <v>118</v>
      </c>
      <c r="L30" s="41">
        <v>0.0145</v>
      </c>
    </row>
    <row r="31" ht="14.25" customHeight="1">
      <c r="E31" s="47" t="s">
        <v>120</v>
      </c>
      <c r="F31" s="47" t="s">
        <v>264</v>
      </c>
      <c r="G31" s="48">
        <f>H19</f>
        <v>7000</v>
      </c>
      <c r="K31" s="41" t="s">
        <v>121</v>
      </c>
      <c r="L31" s="41">
        <v>0.062</v>
      </c>
    </row>
    <row r="32" ht="14.25" customHeight="1">
      <c r="A32" s="42" t="s">
        <v>104</v>
      </c>
      <c r="C32" s="45" t="s">
        <v>104</v>
      </c>
      <c r="K32" s="41" t="s">
        <v>123</v>
      </c>
      <c r="L32" s="41">
        <v>66.0</v>
      </c>
    </row>
    <row r="33" ht="14.25" customHeight="1">
      <c r="A33" s="42" t="s">
        <v>104</v>
      </c>
      <c r="C33" s="45" t="s">
        <v>104</v>
      </c>
      <c r="E33" s="42" t="s">
        <v>265</v>
      </c>
      <c r="F33" s="42"/>
      <c r="G33" s="49">
        <f>SUM(G27:G32)</f>
        <v>273719.014</v>
      </c>
      <c r="K33" s="41" t="s">
        <v>126</v>
      </c>
      <c r="L33" s="41">
        <v>0.0065</v>
      </c>
    </row>
    <row r="34" ht="14.25" customHeight="1">
      <c r="K34" s="41" t="s">
        <v>128</v>
      </c>
      <c r="L34" s="41">
        <v>0.014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24.25"/>
    <col customWidth="1" min="2" max="2" width="11.88"/>
    <col customWidth="1" min="3" max="6" width="7.63"/>
    <col customWidth="1" min="7" max="7" width="12.25"/>
    <col customWidth="1" min="8" max="8" width="7.63"/>
  </cols>
  <sheetData>
    <row r="1" ht="14.25" customHeight="1">
      <c r="A1" s="41" t="s">
        <v>266</v>
      </c>
    </row>
    <row r="2" ht="14.25" customHeight="1">
      <c r="A2" s="41" t="s">
        <v>267</v>
      </c>
      <c r="B2" s="23" t="s">
        <v>51</v>
      </c>
      <c r="C2" s="23" t="s">
        <v>56</v>
      </c>
      <c r="D2" s="23" t="s">
        <v>57</v>
      </c>
      <c r="E2" s="23" t="s">
        <v>140</v>
      </c>
    </row>
    <row r="3" ht="14.25" customHeight="1">
      <c r="A3" s="41" t="s">
        <v>268</v>
      </c>
      <c r="B3" s="43">
        <v>1600.0</v>
      </c>
      <c r="C3" s="43">
        <f>B3*H8</f>
        <v>23.2</v>
      </c>
      <c r="D3" s="43">
        <f>B3*H9</f>
        <v>99.2</v>
      </c>
      <c r="E3" s="43">
        <f>B3*H11</f>
        <v>204</v>
      </c>
    </row>
    <row r="4" ht="14.25" customHeight="1"/>
    <row r="5" ht="14.25" customHeight="1">
      <c r="G5" s="43" t="s">
        <v>109</v>
      </c>
      <c r="H5" s="41">
        <v>0.09</v>
      </c>
    </row>
    <row r="6" ht="14.25" customHeight="1">
      <c r="G6" s="41" t="s">
        <v>112</v>
      </c>
      <c r="H6" s="41">
        <v>0.0216</v>
      </c>
    </row>
    <row r="7" ht="14.25" customHeight="1">
      <c r="A7" s="41" t="s">
        <v>269</v>
      </c>
      <c r="B7" s="44" t="s">
        <v>104</v>
      </c>
      <c r="C7" s="41" t="s">
        <v>104</v>
      </c>
      <c r="D7" s="41" t="s">
        <v>104</v>
      </c>
      <c r="G7" s="41" t="s">
        <v>115</v>
      </c>
      <c r="H7" s="41">
        <v>0.0058</v>
      </c>
    </row>
    <row r="8" ht="14.25" customHeight="1">
      <c r="A8" s="41" t="s">
        <v>270</v>
      </c>
      <c r="B8" s="44">
        <v>4000.0</v>
      </c>
      <c r="C8" s="41" t="s">
        <v>104</v>
      </c>
      <c r="G8" s="41" t="s">
        <v>118</v>
      </c>
      <c r="H8" s="41">
        <v>0.0145</v>
      </c>
    </row>
    <row r="9" ht="14.25" customHeight="1">
      <c r="A9" s="41" t="s">
        <v>271</v>
      </c>
      <c r="B9" s="44">
        <v>9450.0</v>
      </c>
      <c r="G9" s="41" t="s">
        <v>121</v>
      </c>
      <c r="H9" s="41">
        <v>0.062</v>
      </c>
    </row>
    <row r="10" ht="14.25" customHeight="1">
      <c r="A10" s="41" t="s">
        <v>272</v>
      </c>
      <c r="B10" s="44">
        <v>20300.0</v>
      </c>
      <c r="G10" s="41" t="s">
        <v>123</v>
      </c>
      <c r="H10" s="71">
        <f>SSW!L31</f>
        <v>8000</v>
      </c>
    </row>
    <row r="11" ht="14.25" customHeight="1">
      <c r="A11" s="41" t="s">
        <v>273</v>
      </c>
      <c r="B11" s="44">
        <v>1100.0</v>
      </c>
      <c r="G11" s="41" t="s">
        <v>165</v>
      </c>
      <c r="H11" s="41">
        <v>0.1275</v>
      </c>
    </row>
    <row r="12" ht="14.25" customHeight="1">
      <c r="A12" s="47" t="s">
        <v>274</v>
      </c>
      <c r="B12" s="46">
        <v>20000.0</v>
      </c>
      <c r="G12" s="41" t="s">
        <v>126</v>
      </c>
      <c r="H12" s="41">
        <v>0.0065</v>
      </c>
    </row>
    <row r="13" ht="14.25" customHeight="1">
      <c r="B13" s="44"/>
      <c r="G13" s="41" t="s">
        <v>128</v>
      </c>
      <c r="H13" s="41">
        <v>0.014</v>
      </c>
    </row>
    <row r="14" ht="14.25" customHeight="1">
      <c r="A14" s="41" t="s">
        <v>275</v>
      </c>
      <c r="B14" s="44">
        <f>SUM(B7:B13)</f>
        <v>54850</v>
      </c>
    </row>
    <row r="15" ht="14.25" customHeight="1">
      <c r="B15" s="44"/>
    </row>
    <row r="16" ht="14.25" customHeight="1">
      <c r="B16" s="44"/>
    </row>
    <row r="17" ht="14.25" customHeight="1">
      <c r="B17" s="44"/>
      <c r="D17" s="42"/>
      <c r="E17" s="42"/>
      <c r="F17" s="42" t="s">
        <v>267</v>
      </c>
      <c r="G17" s="124">
        <f>B3</f>
        <v>1600</v>
      </c>
    </row>
    <row r="18" ht="14.25" customHeight="1">
      <c r="A18" s="41" t="s">
        <v>276</v>
      </c>
      <c r="B18" s="44"/>
      <c r="D18" s="42"/>
      <c r="E18" s="42"/>
      <c r="F18" s="42" t="s">
        <v>277</v>
      </c>
      <c r="G18" s="124">
        <f>C3+D3+E3</f>
        <v>326.4</v>
      </c>
    </row>
    <row r="19" ht="14.25" customHeight="1">
      <c r="A19" s="41" t="s">
        <v>278</v>
      </c>
      <c r="B19" s="44">
        <v>7200.0</v>
      </c>
      <c r="D19" s="42" t="s">
        <v>104</v>
      </c>
      <c r="E19" s="45" t="s">
        <v>104</v>
      </c>
      <c r="F19" s="42" t="s">
        <v>279</v>
      </c>
      <c r="G19" s="45">
        <f>B14</f>
        <v>54850</v>
      </c>
    </row>
    <row r="20" ht="14.25" customHeight="1">
      <c r="A20" s="41" t="s">
        <v>280</v>
      </c>
      <c r="B20" s="44">
        <v>1500.0</v>
      </c>
      <c r="F20" s="42" t="s">
        <v>281</v>
      </c>
      <c r="G20" s="45">
        <f>B23</f>
        <v>18200</v>
      </c>
    </row>
    <row r="21" ht="14.25" customHeight="1">
      <c r="A21" s="47" t="s">
        <v>282</v>
      </c>
      <c r="B21" s="46">
        <v>9500.0</v>
      </c>
      <c r="F21" s="42" t="s">
        <v>283</v>
      </c>
      <c r="G21" s="45">
        <f>B26</f>
        <v>50000</v>
      </c>
    </row>
    <row r="22" ht="14.25" customHeight="1">
      <c r="B22" s="44"/>
    </row>
    <row r="23" ht="14.25" customHeight="1">
      <c r="A23" s="41" t="s">
        <v>284</v>
      </c>
      <c r="B23" s="44">
        <f>SUM(B19:B22)</f>
        <v>18200</v>
      </c>
      <c r="F23" s="42" t="s">
        <v>285</v>
      </c>
      <c r="G23" s="125">
        <v>214796.0</v>
      </c>
    </row>
    <row r="24" ht="14.25" customHeight="1">
      <c r="B24" s="44"/>
    </row>
    <row r="25" ht="14.25" customHeight="1">
      <c r="B25" s="44"/>
    </row>
    <row r="26" ht="14.25" customHeight="1">
      <c r="A26" s="41" t="s">
        <v>286</v>
      </c>
      <c r="B26" s="44">
        <v>50000.0</v>
      </c>
    </row>
    <row r="27" ht="14.25" customHeight="1">
      <c r="B27" s="44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3.75"/>
    <col customWidth="1" min="3" max="3" width="10.63"/>
    <col customWidth="1" min="4" max="4" width="8.13"/>
    <col customWidth="1" min="5" max="5" width="10.0"/>
    <col customWidth="1" min="6" max="6" width="9.25"/>
    <col customWidth="1" min="7" max="7" width="10.25"/>
    <col customWidth="1" min="8" max="8" width="7.0"/>
    <col customWidth="1" min="9" max="9" width="9.88"/>
    <col customWidth="1" min="10" max="10" width="8.0"/>
    <col customWidth="1" min="11" max="11" width="7.5"/>
    <col customWidth="1" min="12" max="12" width="10.13"/>
    <col customWidth="1" min="13" max="14" width="7.63"/>
    <col customWidth="1" min="15" max="15" width="12.13"/>
    <col customWidth="1" min="16" max="16" width="4.25"/>
    <col customWidth="1" min="17" max="17" width="8.25"/>
    <col customWidth="1" min="18" max="18" width="10.75"/>
    <col customWidth="1" min="19" max="19" width="4.5"/>
    <col customWidth="1" min="20" max="20" width="3.75"/>
    <col customWidth="1" min="21" max="21" width="9.75"/>
    <col customWidth="1" min="22" max="22" width="8.0"/>
    <col customWidth="1" min="23" max="23" width="11.38"/>
    <col customWidth="1" min="24" max="24" width="11.75"/>
    <col customWidth="1" min="25" max="26" width="7.63"/>
  </cols>
  <sheetData>
    <row r="1" ht="14.25" customHeight="1">
      <c r="A1" s="126" t="s">
        <v>47</v>
      </c>
      <c r="B1" s="126" t="s">
        <v>48</v>
      </c>
      <c r="C1" s="126" t="s">
        <v>49</v>
      </c>
      <c r="D1" s="127" t="s">
        <v>50</v>
      </c>
      <c r="E1" s="127" t="s">
        <v>51</v>
      </c>
      <c r="F1" s="127" t="s">
        <v>52</v>
      </c>
      <c r="G1" s="127" t="s">
        <v>53</v>
      </c>
      <c r="H1" s="127" t="s">
        <v>54</v>
      </c>
      <c r="I1" s="126" t="s">
        <v>55</v>
      </c>
      <c r="J1" s="127" t="s">
        <v>56</v>
      </c>
      <c r="K1" s="127" t="s">
        <v>57</v>
      </c>
      <c r="L1" s="127" t="s">
        <v>58</v>
      </c>
      <c r="M1" s="72" t="s">
        <v>287</v>
      </c>
      <c r="N1" s="22"/>
      <c r="O1" s="22" t="s">
        <v>288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4.25" customHeight="1">
      <c r="A2" s="128" t="s">
        <v>104</v>
      </c>
      <c r="B2" s="129">
        <v>0.0</v>
      </c>
      <c r="C2" s="130">
        <v>0.0</v>
      </c>
      <c r="D2" s="130">
        <v>0.0</v>
      </c>
      <c r="E2" s="130">
        <f t="shared" ref="E2:E17" si="1">D2+C2</f>
        <v>0</v>
      </c>
      <c r="F2" s="130">
        <f>C2*L24</f>
        <v>0</v>
      </c>
      <c r="G2" s="130">
        <f>C2*L25</f>
        <v>0</v>
      </c>
      <c r="H2" s="130">
        <f>C2*L26</f>
        <v>0</v>
      </c>
      <c r="I2" s="130">
        <f t="shared" ref="I2:I13" si="2">C2+F2+G2+H2</f>
        <v>0</v>
      </c>
      <c r="J2" s="130">
        <f>C2*L27</f>
        <v>0</v>
      </c>
      <c r="K2" s="130"/>
      <c r="L2" s="130"/>
      <c r="M2" s="27"/>
    </row>
    <row r="3" ht="14.25" customHeight="1">
      <c r="A3" s="131" t="s">
        <v>187</v>
      </c>
      <c r="B3" s="129">
        <v>0.8</v>
      </c>
      <c r="C3" s="132">
        <f>(95680*1.06)*0.8</f>
        <v>81136.64</v>
      </c>
      <c r="D3" s="130">
        <v>0.0</v>
      </c>
      <c r="E3" s="130">
        <f t="shared" si="1"/>
        <v>81136.64</v>
      </c>
      <c r="F3" s="130">
        <f>C3*L24</f>
        <v>7302.2976</v>
      </c>
      <c r="G3" s="130">
        <f>C3*L25</f>
        <v>1752.551424</v>
      </c>
      <c r="H3" s="130">
        <f>C3*L26</f>
        <v>470.592512</v>
      </c>
      <c r="I3" s="130">
        <f t="shared" si="2"/>
        <v>90662.08154</v>
      </c>
      <c r="J3" s="130">
        <f>C3*L27</f>
        <v>1176.48128</v>
      </c>
      <c r="K3" s="130"/>
      <c r="L3" s="130">
        <f t="shared" ref="L3:L5" si="3">B3*$L$29</f>
        <v>6400</v>
      </c>
      <c r="M3" s="27">
        <f>(I3+J3+L3)*0.1</f>
        <v>9823.856282</v>
      </c>
      <c r="Q3" s="15" t="s">
        <v>289</v>
      </c>
      <c r="R3" s="69">
        <f>sum(I3:L3)-M3-10000</f>
        <v>78414.70653</v>
      </c>
    </row>
    <row r="4" ht="14.25" customHeight="1">
      <c r="A4" s="131" t="s">
        <v>290</v>
      </c>
      <c r="B4" s="129">
        <v>1.0</v>
      </c>
      <c r="C4" s="132">
        <f>75920*1.05</f>
        <v>79716</v>
      </c>
      <c r="D4" s="130">
        <v>0.0</v>
      </c>
      <c r="E4" s="130">
        <f t="shared" si="1"/>
        <v>79716</v>
      </c>
      <c r="F4" s="130">
        <f>C4*L24</f>
        <v>7174.44</v>
      </c>
      <c r="G4" s="130">
        <f>C4*L25</f>
        <v>1721.8656</v>
      </c>
      <c r="H4" s="130">
        <f>C4*L26</f>
        <v>462.3528</v>
      </c>
      <c r="I4" s="130">
        <f t="shared" si="2"/>
        <v>89074.6584</v>
      </c>
      <c r="J4" s="130">
        <f>C4*L27</f>
        <v>1155.882</v>
      </c>
      <c r="K4" s="130"/>
      <c r="L4" s="130">
        <f t="shared" si="3"/>
        <v>8000</v>
      </c>
      <c r="M4" s="27">
        <f>(I4+J4+L4)</f>
        <v>98230.5404</v>
      </c>
      <c r="Q4" s="15" t="s">
        <v>291</v>
      </c>
      <c r="R4" s="15">
        <v>1500.0</v>
      </c>
    </row>
    <row r="5" ht="14.25" customHeight="1">
      <c r="A5" s="131" t="s">
        <v>292</v>
      </c>
      <c r="B5" s="129">
        <v>1.0</v>
      </c>
      <c r="C5" s="132">
        <f>100234*1.06</f>
        <v>106248.04</v>
      </c>
      <c r="D5" s="130">
        <v>0.0</v>
      </c>
      <c r="E5" s="130">
        <f t="shared" si="1"/>
        <v>106248.04</v>
      </c>
      <c r="F5" s="130">
        <f>C5*L24</f>
        <v>9562.3236</v>
      </c>
      <c r="G5" s="130">
        <f>C5*L25</f>
        <v>2294.957664</v>
      </c>
      <c r="H5" s="130">
        <f>C5*L26</f>
        <v>616.238632</v>
      </c>
      <c r="I5" s="130">
        <f t="shared" si="2"/>
        <v>118721.5599</v>
      </c>
      <c r="J5" s="130">
        <f>C5*L27</f>
        <v>1540.59658</v>
      </c>
      <c r="K5" s="130"/>
      <c r="L5" s="130">
        <f t="shared" si="3"/>
        <v>8000</v>
      </c>
      <c r="M5" s="27">
        <f>(I5+J5+L5)*0.3</f>
        <v>38478.64694</v>
      </c>
      <c r="Q5" s="15" t="s">
        <v>289</v>
      </c>
      <c r="R5" s="33">
        <f>sum(I5:L5)-M5-10000</f>
        <v>79783.50953</v>
      </c>
    </row>
    <row r="6" ht="14.25" customHeight="1">
      <c r="A6" s="133" t="s">
        <v>104</v>
      </c>
      <c r="B6" s="25">
        <v>1.0</v>
      </c>
      <c r="C6" s="27"/>
      <c r="D6" s="31"/>
      <c r="E6" s="27">
        <f t="shared" si="1"/>
        <v>0</v>
      </c>
      <c r="F6" s="27">
        <f>C6*L24</f>
        <v>0</v>
      </c>
      <c r="G6" s="27">
        <f>C6*L25</f>
        <v>0</v>
      </c>
      <c r="H6" s="27">
        <f>C6*L26</f>
        <v>0</v>
      </c>
      <c r="I6" s="27">
        <f t="shared" si="2"/>
        <v>0</v>
      </c>
      <c r="J6" s="27">
        <f>C6*L27</f>
        <v>0</v>
      </c>
      <c r="K6" s="27"/>
      <c r="L6" s="27"/>
      <c r="M6" s="27"/>
      <c r="O6" s="27">
        <f>SUM(I6:N6)+(10000*0.014)+(E6*0.0065)</f>
        <v>140</v>
      </c>
      <c r="Q6" s="15" t="s">
        <v>132</v>
      </c>
      <c r="R6" s="15">
        <v>5000.0</v>
      </c>
    </row>
    <row r="7" ht="14.25" customHeight="1">
      <c r="A7" s="24" t="s">
        <v>293</v>
      </c>
      <c r="B7" s="25">
        <v>1.0</v>
      </c>
      <c r="C7" s="58">
        <f>82905*1.05</f>
        <v>87050.25</v>
      </c>
      <c r="D7" s="27"/>
      <c r="E7" s="27">
        <f t="shared" si="1"/>
        <v>87050.25</v>
      </c>
      <c r="F7" s="27">
        <f>C7*L24</f>
        <v>7834.5225</v>
      </c>
      <c r="G7" s="27">
        <f>C7*L25</f>
        <v>1880.2854</v>
      </c>
      <c r="H7" s="27">
        <f>C7*L26</f>
        <v>504.89145</v>
      </c>
      <c r="I7" s="27">
        <f t="shared" si="2"/>
        <v>97269.94935</v>
      </c>
      <c r="J7" s="27">
        <f>C7*L27</f>
        <v>1262.228625</v>
      </c>
      <c r="K7" s="27"/>
      <c r="L7" s="27">
        <f>B7*$L$29</f>
        <v>8000</v>
      </c>
      <c r="M7" s="27">
        <f>(I7+J7+L7)*1</f>
        <v>106532.178</v>
      </c>
    </row>
    <row r="8" ht="14.25" customHeight="1">
      <c r="A8" s="41" t="s">
        <v>104</v>
      </c>
      <c r="B8" s="25">
        <v>0.0</v>
      </c>
      <c r="C8" s="27">
        <v>0.0</v>
      </c>
      <c r="D8" s="27">
        <v>0.0</v>
      </c>
      <c r="E8" s="27">
        <f t="shared" si="1"/>
        <v>0</v>
      </c>
      <c r="F8" s="27">
        <f>C8*L24</f>
        <v>0</v>
      </c>
      <c r="G8" s="27">
        <f>C8*L25</f>
        <v>0</v>
      </c>
      <c r="H8" s="27">
        <f>C8*L26</f>
        <v>0</v>
      </c>
      <c r="I8" s="27">
        <f t="shared" si="2"/>
        <v>0</v>
      </c>
      <c r="J8" s="27">
        <f>C8*L27</f>
        <v>0</v>
      </c>
      <c r="K8" s="27"/>
      <c r="L8" s="27"/>
      <c r="M8" s="27">
        <f>SUM(M3:M7)</f>
        <v>253065.2216</v>
      </c>
      <c r="R8" s="33">
        <f>SUM(R3:R7)</f>
        <v>164698.2161</v>
      </c>
    </row>
    <row r="9" ht="14.25" customHeight="1">
      <c r="A9" s="41" t="s">
        <v>104</v>
      </c>
      <c r="B9" s="25">
        <v>0.0</v>
      </c>
      <c r="C9" s="27">
        <v>0.0</v>
      </c>
      <c r="D9" s="27">
        <v>0.0</v>
      </c>
      <c r="E9" s="27">
        <f t="shared" si="1"/>
        <v>0</v>
      </c>
      <c r="F9" s="27">
        <f>C9*L24</f>
        <v>0</v>
      </c>
      <c r="G9" s="27">
        <f>C9*L25</f>
        <v>0</v>
      </c>
      <c r="H9" s="27">
        <f>C9*L26</f>
        <v>0</v>
      </c>
      <c r="I9" s="27">
        <f t="shared" si="2"/>
        <v>0</v>
      </c>
      <c r="J9" s="27">
        <f>C9*L27</f>
        <v>0</v>
      </c>
      <c r="K9" s="27"/>
      <c r="L9" s="27"/>
      <c r="M9" s="27">
        <f t="shared" ref="M9:M11" si="4">C24/2</f>
        <v>336</v>
      </c>
    </row>
    <row r="10" ht="14.25" customHeight="1">
      <c r="A10" s="41" t="s">
        <v>104</v>
      </c>
      <c r="B10" s="25">
        <v>0.0</v>
      </c>
      <c r="C10" s="27">
        <v>0.0</v>
      </c>
      <c r="D10" s="27">
        <v>0.0</v>
      </c>
      <c r="E10" s="27">
        <f t="shared" si="1"/>
        <v>0</v>
      </c>
      <c r="F10" s="27">
        <f>C10*L24</f>
        <v>0</v>
      </c>
      <c r="G10" s="27">
        <f>C10*L25</f>
        <v>0</v>
      </c>
      <c r="H10" s="27">
        <f>C10*L26</f>
        <v>0</v>
      </c>
      <c r="I10" s="27">
        <f t="shared" si="2"/>
        <v>0</v>
      </c>
      <c r="J10" s="27">
        <f>C10*L27</f>
        <v>0</v>
      </c>
      <c r="K10" s="27"/>
      <c r="L10" s="27"/>
      <c r="M10" s="27">
        <f t="shared" si="4"/>
        <v>1150.990523</v>
      </c>
    </row>
    <row r="11" ht="14.25" customHeight="1">
      <c r="A11" s="41" t="s">
        <v>104</v>
      </c>
      <c r="B11" s="25">
        <v>0.0</v>
      </c>
      <c r="C11" s="27">
        <v>0.0</v>
      </c>
      <c r="D11" s="27"/>
      <c r="E11" s="27">
        <f t="shared" si="1"/>
        <v>0</v>
      </c>
      <c r="F11" s="27">
        <v>0.0</v>
      </c>
      <c r="G11" s="27">
        <v>0.0</v>
      </c>
      <c r="H11" s="27">
        <v>0.0</v>
      </c>
      <c r="I11" s="27">
        <f t="shared" si="2"/>
        <v>0</v>
      </c>
      <c r="J11" s="27">
        <f>C11*L27</f>
        <v>0</v>
      </c>
      <c r="K11" s="27"/>
      <c r="L11" s="27"/>
      <c r="M11" s="27">
        <f t="shared" si="4"/>
        <v>5000</v>
      </c>
    </row>
    <row r="12" ht="14.25" customHeight="1">
      <c r="A12" s="41" t="s">
        <v>104</v>
      </c>
      <c r="B12" s="25">
        <v>0.0</v>
      </c>
      <c r="C12" s="27">
        <v>0.0</v>
      </c>
      <c r="D12" s="27">
        <v>0.0</v>
      </c>
      <c r="E12" s="27">
        <f t="shared" si="1"/>
        <v>0</v>
      </c>
      <c r="F12" s="27">
        <f>C12*L24</f>
        <v>0</v>
      </c>
      <c r="G12" s="27">
        <f>C12*L25</f>
        <v>0</v>
      </c>
      <c r="H12" s="27">
        <f>C12*L26</f>
        <v>0</v>
      </c>
      <c r="I12" s="27">
        <f t="shared" si="2"/>
        <v>0</v>
      </c>
      <c r="J12" s="27">
        <f>C12*L27</f>
        <v>0</v>
      </c>
      <c r="K12" s="27"/>
      <c r="L12" s="27"/>
      <c r="M12" s="27">
        <f>C30/2</f>
        <v>3750</v>
      </c>
    </row>
    <row r="13" ht="14.25" customHeight="1">
      <c r="A13" s="41" t="s">
        <v>104</v>
      </c>
      <c r="B13" s="36">
        <v>0.0</v>
      </c>
      <c r="C13" s="38">
        <v>0.0</v>
      </c>
      <c r="D13" s="38"/>
      <c r="E13" s="27">
        <f t="shared" si="1"/>
        <v>0</v>
      </c>
      <c r="F13" s="38">
        <f>C13*L24</f>
        <v>0</v>
      </c>
      <c r="G13" s="38">
        <f>C13*L25</f>
        <v>0</v>
      </c>
      <c r="H13" s="38">
        <f>C13*L26</f>
        <v>0</v>
      </c>
      <c r="I13" s="38">
        <f t="shared" si="2"/>
        <v>0</v>
      </c>
      <c r="J13" s="38">
        <f>C13*L27</f>
        <v>0</v>
      </c>
      <c r="K13" s="38"/>
      <c r="L13" s="38"/>
      <c r="M13" s="27"/>
    </row>
    <row r="14" ht="14.25" customHeight="1">
      <c r="A14" s="41" t="s">
        <v>104</v>
      </c>
      <c r="B14" s="25">
        <f t="shared" ref="B14:D14" si="5">SUM(B2:B13)</f>
        <v>4.8</v>
      </c>
      <c r="C14" s="39">
        <f t="shared" si="5"/>
        <v>354150.93</v>
      </c>
      <c r="D14" s="39">
        <f t="shared" si="5"/>
        <v>0</v>
      </c>
      <c r="E14" s="39">
        <f t="shared" si="1"/>
        <v>354150.93</v>
      </c>
      <c r="F14" s="39">
        <f t="shared" ref="F14:J14" si="6">SUM(F2:F13)</f>
        <v>31873.5837</v>
      </c>
      <c r="G14" s="39">
        <f t="shared" si="6"/>
        <v>7649.660088</v>
      </c>
      <c r="H14" s="39">
        <f t="shared" si="6"/>
        <v>2054.075394</v>
      </c>
      <c r="I14" s="39">
        <f t="shared" si="6"/>
        <v>395728.2492</v>
      </c>
      <c r="J14" s="39">
        <f t="shared" si="6"/>
        <v>5135.188485</v>
      </c>
      <c r="K14" s="27"/>
      <c r="L14" s="39">
        <f>B14*L29</f>
        <v>38400</v>
      </c>
      <c r="M14" s="27">
        <f>SUM(M8:M13)+6000+4500+7500</f>
        <v>281302.2121</v>
      </c>
      <c r="N14" s="41" t="s">
        <v>294</v>
      </c>
    </row>
    <row r="15" ht="14.25" customHeight="1">
      <c r="A15" s="41" t="s">
        <v>104</v>
      </c>
      <c r="B15" s="25"/>
      <c r="C15" s="27"/>
      <c r="D15" s="27"/>
      <c r="E15" s="27">
        <f t="shared" si="1"/>
        <v>0</v>
      </c>
      <c r="F15" s="27"/>
      <c r="G15" s="27"/>
      <c r="H15" s="27"/>
      <c r="I15" s="27"/>
      <c r="J15" s="27"/>
      <c r="K15" s="27"/>
      <c r="L15" s="27"/>
      <c r="M15" s="27"/>
    </row>
    <row r="16" ht="14.25" customHeight="1">
      <c r="A16" s="41" t="s">
        <v>104</v>
      </c>
      <c r="B16" s="25">
        <v>0.0</v>
      </c>
      <c r="C16" s="27">
        <v>0.0</v>
      </c>
      <c r="D16" s="27"/>
      <c r="E16" s="27">
        <f t="shared" si="1"/>
        <v>0</v>
      </c>
      <c r="F16" s="27"/>
      <c r="G16" s="27"/>
      <c r="H16" s="27"/>
      <c r="I16" s="27"/>
      <c r="J16" s="27">
        <f>E16*L27</f>
        <v>0</v>
      </c>
      <c r="K16" s="27">
        <f>C16*L28</f>
        <v>0</v>
      </c>
      <c r="L16" s="27"/>
      <c r="M16" s="27"/>
    </row>
    <row r="17" ht="14.25" customHeight="1">
      <c r="A17" s="41" t="s">
        <v>104</v>
      </c>
      <c r="B17" s="36">
        <v>0.0</v>
      </c>
      <c r="C17" s="38">
        <v>0.0</v>
      </c>
      <c r="D17" s="38"/>
      <c r="E17" s="38">
        <f t="shared" si="1"/>
        <v>0</v>
      </c>
      <c r="F17" s="38"/>
      <c r="G17" s="38"/>
      <c r="H17" s="38"/>
      <c r="I17" s="38"/>
      <c r="J17" s="38">
        <f>E17*L27</f>
        <v>0</v>
      </c>
      <c r="K17" s="38">
        <f>C17*L28</f>
        <v>0</v>
      </c>
      <c r="L17" s="27"/>
      <c r="M17" s="27"/>
    </row>
    <row r="18" ht="14.25" customHeight="1">
      <c r="B18" s="25">
        <f t="shared" ref="B18:K18" si="7">SUM(B16:B17)</f>
        <v>0</v>
      </c>
      <c r="C18" s="27">
        <f t="shared" si="7"/>
        <v>0</v>
      </c>
      <c r="D18" s="27">
        <f t="shared" si="7"/>
        <v>0</v>
      </c>
      <c r="E18" s="27">
        <f t="shared" si="7"/>
        <v>0</v>
      </c>
      <c r="F18" s="27">
        <f t="shared" si="7"/>
        <v>0</v>
      </c>
      <c r="G18" s="27">
        <f t="shared" si="7"/>
        <v>0</v>
      </c>
      <c r="H18" s="27">
        <f t="shared" si="7"/>
        <v>0</v>
      </c>
      <c r="I18" s="27">
        <f t="shared" si="7"/>
        <v>0</v>
      </c>
      <c r="J18" s="27">
        <f t="shared" si="7"/>
        <v>0</v>
      </c>
      <c r="K18" s="27">
        <f t="shared" si="7"/>
        <v>0</v>
      </c>
      <c r="L18" s="27"/>
      <c r="M18" s="27"/>
    </row>
    <row r="19" ht="14.25" customHeight="1">
      <c r="A19" s="42" t="s">
        <v>105</v>
      </c>
      <c r="B19" s="25">
        <f t="shared" ref="B19:L19" si="8">B18+B14</f>
        <v>4.8</v>
      </c>
      <c r="C19" s="39">
        <f t="shared" si="8"/>
        <v>354150.93</v>
      </c>
      <c r="D19" s="39">
        <f t="shared" si="8"/>
        <v>0</v>
      </c>
      <c r="E19" s="39">
        <f t="shared" si="8"/>
        <v>354150.93</v>
      </c>
      <c r="F19" s="39">
        <f t="shared" si="8"/>
        <v>31873.5837</v>
      </c>
      <c r="G19" s="39">
        <f t="shared" si="8"/>
        <v>7649.660088</v>
      </c>
      <c r="H19" s="39">
        <f t="shared" si="8"/>
        <v>2054.075394</v>
      </c>
      <c r="I19" s="39">
        <f t="shared" si="8"/>
        <v>395728.2492</v>
      </c>
      <c r="J19" s="39">
        <f t="shared" si="8"/>
        <v>5135.188485</v>
      </c>
      <c r="K19" s="39">
        <f t="shared" si="8"/>
        <v>0</v>
      </c>
      <c r="L19" s="39">
        <f t="shared" si="8"/>
        <v>38400</v>
      </c>
      <c r="M19" s="27"/>
    </row>
    <row r="20" ht="14.25" customHeight="1">
      <c r="A20" s="42"/>
      <c r="B20" s="2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7"/>
    </row>
    <row r="21" ht="14.25" customHeight="1">
      <c r="A21" s="41" t="s">
        <v>295</v>
      </c>
      <c r="D21" s="43"/>
      <c r="E21" s="43" t="s">
        <v>104</v>
      </c>
      <c r="F21" s="43"/>
      <c r="G21" s="43"/>
      <c r="H21" s="43"/>
      <c r="I21" s="43"/>
      <c r="J21" s="43"/>
      <c r="K21" s="43"/>
      <c r="L21" s="43"/>
    </row>
    <row r="22" ht="14.25" customHeight="1">
      <c r="A22" s="41" t="s">
        <v>296</v>
      </c>
      <c r="C22" s="134">
        <v>40000.0</v>
      </c>
      <c r="D22" s="43"/>
      <c r="E22" s="43"/>
      <c r="F22" s="43"/>
      <c r="G22" s="43"/>
      <c r="H22" s="43"/>
      <c r="I22" s="43"/>
      <c r="J22" s="43"/>
      <c r="K22" s="43"/>
      <c r="L22" s="43"/>
    </row>
    <row r="23" ht="14.25" customHeight="1">
      <c r="A23" s="41" t="s">
        <v>297</v>
      </c>
      <c r="C23" s="43">
        <v>24900.0</v>
      </c>
      <c r="D23" s="43"/>
      <c r="E23" s="43"/>
      <c r="F23" s="43"/>
      <c r="G23" s="43"/>
      <c r="H23" s="43"/>
      <c r="I23" s="43"/>
      <c r="J23" s="43"/>
      <c r="K23" s="43"/>
      <c r="L23" s="43"/>
    </row>
    <row r="24" ht="14.25" customHeight="1">
      <c r="A24" s="41" t="s">
        <v>107</v>
      </c>
      <c r="B24" s="41" t="s">
        <v>104</v>
      </c>
      <c r="C24" s="44">
        <f>(B19*10000)*0.014</f>
        <v>672</v>
      </c>
      <c r="D24" s="43"/>
      <c r="E24" s="43" t="s">
        <v>108</v>
      </c>
      <c r="F24" s="27">
        <v>100.0</v>
      </c>
      <c r="G24" s="135">
        <f>E19</f>
        <v>354150.93</v>
      </c>
      <c r="J24" s="43"/>
      <c r="K24" s="43" t="s">
        <v>109</v>
      </c>
      <c r="L24" s="41">
        <v>0.09</v>
      </c>
    </row>
    <row r="25" ht="14.25" customHeight="1">
      <c r="A25" s="41" t="s">
        <v>110</v>
      </c>
      <c r="C25" s="44">
        <f>C19*0.0065</f>
        <v>2301.981045</v>
      </c>
      <c r="E25" s="41" t="s">
        <v>111</v>
      </c>
      <c r="F25" s="41">
        <v>200.0</v>
      </c>
      <c r="G25" s="45">
        <f>F19+G19+H19+J19+K19+L19</f>
        <v>85112.50767</v>
      </c>
      <c r="K25" s="41" t="s">
        <v>112</v>
      </c>
      <c r="L25" s="41">
        <v>0.0216</v>
      </c>
    </row>
    <row r="26" ht="14.25" customHeight="1">
      <c r="A26" s="136" t="s">
        <v>298</v>
      </c>
      <c r="C26" s="44">
        <v>10000.0</v>
      </c>
      <c r="E26" s="41" t="s">
        <v>114</v>
      </c>
      <c r="F26" s="41">
        <v>300.0</v>
      </c>
      <c r="G26" s="45">
        <f t="shared" ref="G26:G28" si="9">C28</f>
        <v>77873.98105</v>
      </c>
      <c r="K26" s="41" t="s">
        <v>115</v>
      </c>
      <c r="L26" s="41">
        <v>0.0058</v>
      </c>
    </row>
    <row r="27" ht="14.25" customHeight="1">
      <c r="A27" s="41" t="s">
        <v>104</v>
      </c>
      <c r="C27" s="46">
        <v>0.0</v>
      </c>
      <c r="E27" s="41" t="s">
        <v>117</v>
      </c>
      <c r="F27" s="41">
        <v>400.0</v>
      </c>
      <c r="G27" s="45">
        <f t="shared" si="9"/>
        <v>8000</v>
      </c>
      <c r="K27" s="41" t="s">
        <v>118</v>
      </c>
      <c r="L27" s="41">
        <v>0.0145</v>
      </c>
    </row>
    <row r="28" ht="14.25" customHeight="1">
      <c r="A28" s="42" t="s">
        <v>119</v>
      </c>
      <c r="C28" s="45">
        <f>SUM(C22:C27)</f>
        <v>77873.98105</v>
      </c>
      <c r="E28" s="47" t="s">
        <v>120</v>
      </c>
      <c r="F28" s="47">
        <v>500.0</v>
      </c>
      <c r="G28" s="48">
        <f t="shared" si="9"/>
        <v>7500</v>
      </c>
      <c r="K28" s="41" t="s">
        <v>121</v>
      </c>
      <c r="L28" s="41">
        <v>0.062</v>
      </c>
    </row>
    <row r="29" ht="14.25" customHeight="1">
      <c r="A29" s="42" t="s">
        <v>299</v>
      </c>
      <c r="C29" s="45">
        <v>8000.0</v>
      </c>
      <c r="K29" s="41" t="s">
        <v>123</v>
      </c>
      <c r="L29" s="71">
        <f>SSW!L31</f>
        <v>8000</v>
      </c>
    </row>
    <row r="30" ht="14.25" customHeight="1">
      <c r="A30" s="42" t="s">
        <v>300</v>
      </c>
      <c r="C30" s="45">
        <v>7500.0</v>
      </c>
      <c r="E30" s="42" t="s">
        <v>125</v>
      </c>
      <c r="F30" s="42"/>
      <c r="G30" s="49">
        <f>SUM(G24:G29)</f>
        <v>532637.4187</v>
      </c>
      <c r="K30" s="41" t="s">
        <v>126</v>
      </c>
      <c r="L30" s="41">
        <v>0.0065</v>
      </c>
    </row>
    <row r="31" ht="14.25" customHeight="1">
      <c r="K31" s="41" t="s">
        <v>128</v>
      </c>
      <c r="L31" s="41">
        <v>0.014</v>
      </c>
    </row>
    <row r="32" ht="14.25" customHeight="1"/>
    <row r="33" ht="14.25" customHeight="1"/>
    <row r="34" ht="14.25" customHeight="1">
      <c r="M34" s="81" t="s">
        <v>301</v>
      </c>
      <c r="Y34" s="78"/>
    </row>
    <row r="35" ht="14.25" customHeight="1">
      <c r="M35" s="137" t="s">
        <v>302</v>
      </c>
      <c r="Y35" s="78"/>
    </row>
    <row r="36" ht="14.25" customHeight="1"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ht="14.25" customHeight="1">
      <c r="M37" s="138" t="s">
        <v>303</v>
      </c>
      <c r="N37" s="139">
        <v>3.0</v>
      </c>
      <c r="O37" s="140">
        <f>M14</f>
        <v>281302.2121</v>
      </c>
      <c r="P37" s="141"/>
      <c r="Q37" s="78"/>
      <c r="R37" s="142" t="s">
        <v>304</v>
      </c>
      <c r="S37" s="78"/>
      <c r="T37" s="78"/>
      <c r="U37" s="143" t="s">
        <v>305</v>
      </c>
      <c r="V37" s="144">
        <f>O37/N37</f>
        <v>93767.40404</v>
      </c>
      <c r="W37" s="78"/>
      <c r="X37" s="78"/>
      <c r="Y37" s="78"/>
    </row>
    <row r="38" ht="14.25" customHeight="1">
      <c r="M38" s="145"/>
      <c r="N38" s="145"/>
      <c r="O38" s="145"/>
      <c r="P38" s="145"/>
      <c r="Q38" s="146"/>
      <c r="R38" s="147"/>
      <c r="S38" s="146"/>
      <c r="T38" s="146"/>
      <c r="U38" s="146"/>
      <c r="V38" s="146"/>
      <c r="W38" s="146"/>
      <c r="X38" s="146"/>
      <c r="Y38" s="78"/>
    </row>
    <row r="39" ht="14.25" customHeight="1">
      <c r="M39" s="89"/>
      <c r="N39" s="89"/>
      <c r="O39" s="89"/>
      <c r="P39" s="89"/>
      <c r="Q39" s="78"/>
      <c r="R39" s="148" t="s">
        <v>306</v>
      </c>
      <c r="S39" s="78"/>
      <c r="T39" s="78"/>
      <c r="U39" s="81" t="s">
        <v>215</v>
      </c>
      <c r="V39" s="113"/>
      <c r="W39" s="81" t="s">
        <v>212</v>
      </c>
      <c r="X39" s="81" t="s">
        <v>212</v>
      </c>
      <c r="Y39" s="78"/>
    </row>
    <row r="40" ht="14.25" customHeight="1">
      <c r="M40" s="78"/>
      <c r="N40" s="78"/>
      <c r="O40" s="137" t="s">
        <v>307</v>
      </c>
      <c r="P40" s="81"/>
      <c r="Q40" s="78"/>
      <c r="R40" s="81" t="s">
        <v>129</v>
      </c>
      <c r="S40" s="78"/>
      <c r="T40" s="78"/>
      <c r="U40" s="81" t="s">
        <v>308</v>
      </c>
      <c r="V40" s="78"/>
      <c r="W40" s="81" t="s">
        <v>309</v>
      </c>
      <c r="X40" s="81" t="s">
        <v>310</v>
      </c>
      <c r="Y40" s="78"/>
    </row>
    <row r="41" ht="14.25" customHeight="1">
      <c r="M41" s="145" t="s">
        <v>311</v>
      </c>
      <c r="N41" s="145"/>
      <c r="O41" s="149" t="s">
        <v>312</v>
      </c>
      <c r="P41" s="149"/>
      <c r="Q41" s="150" t="s">
        <v>307</v>
      </c>
      <c r="R41" s="149" t="s">
        <v>313</v>
      </c>
      <c r="S41" s="149"/>
      <c r="T41" s="149"/>
      <c r="U41" s="149" t="s">
        <v>314</v>
      </c>
      <c r="V41" s="146"/>
      <c r="W41" s="145" t="s">
        <v>315</v>
      </c>
      <c r="X41" s="145" t="s">
        <v>315</v>
      </c>
      <c r="Y41" s="78"/>
    </row>
    <row r="42" ht="14.25" customHeight="1">
      <c r="M42" s="151" t="s">
        <v>316</v>
      </c>
      <c r="N42" s="151"/>
      <c r="O42" s="152">
        <v>5.0</v>
      </c>
      <c r="P42" s="152"/>
      <c r="Q42" s="153">
        <v>1.0</v>
      </c>
      <c r="R42" s="154">
        <v>10000.0</v>
      </c>
      <c r="S42" s="153"/>
      <c r="T42" s="155"/>
      <c r="U42" s="156">
        <f>M7-R42</f>
        <v>96532.17798</v>
      </c>
      <c r="V42" s="157"/>
      <c r="W42" s="158">
        <f t="shared" ref="W42:W51" si="10">U42/2</f>
        <v>48266.08899</v>
      </c>
      <c r="X42" s="159">
        <f t="shared" ref="X42:X51" si="11">U42/2</f>
        <v>48266.08899</v>
      </c>
      <c r="Y42" s="78"/>
    </row>
    <row r="43" ht="14.25" customHeight="1">
      <c r="M43" s="160" t="s">
        <v>317</v>
      </c>
      <c r="N43" s="161"/>
      <c r="O43" s="162">
        <v>0.0</v>
      </c>
      <c r="P43" s="163"/>
      <c r="Q43" s="162">
        <v>0.0</v>
      </c>
      <c r="R43" s="164">
        <v>0.0</v>
      </c>
      <c r="S43" s="165"/>
      <c r="T43" s="166"/>
      <c r="U43" s="167">
        <v>0.0</v>
      </c>
      <c r="V43" s="168"/>
      <c r="W43" s="169">
        <f t="shared" si="10"/>
        <v>0</v>
      </c>
      <c r="X43" s="170">
        <f t="shared" si="11"/>
        <v>0</v>
      </c>
      <c r="Y43" s="78"/>
    </row>
    <row r="44" ht="14.25" customHeight="1">
      <c r="M44" s="160" t="s">
        <v>226</v>
      </c>
      <c r="N44" s="161"/>
      <c r="O44" s="163">
        <v>2.0</v>
      </c>
      <c r="P44" s="171"/>
      <c r="Q44" s="171">
        <v>0.4</v>
      </c>
      <c r="R44" s="172">
        <f t="shared" ref="R44:R50" si="12">(10000/5)*O44</f>
        <v>4000</v>
      </c>
      <c r="S44" s="165"/>
      <c r="T44" s="166"/>
      <c r="U44" s="173">
        <f>((V37/5)*O44)-R44</f>
        <v>33506.96162</v>
      </c>
      <c r="V44" s="168"/>
      <c r="W44" s="169">
        <f t="shared" si="10"/>
        <v>16753.48081</v>
      </c>
      <c r="X44" s="170">
        <f t="shared" si="11"/>
        <v>16753.48081</v>
      </c>
      <c r="Y44" s="78"/>
    </row>
    <row r="45" ht="14.25" customHeight="1">
      <c r="M45" s="78" t="s">
        <v>225</v>
      </c>
      <c r="N45" s="89"/>
      <c r="O45" s="174">
        <v>1.0</v>
      </c>
      <c r="P45" s="174"/>
      <c r="Q45" s="80">
        <v>0.2</v>
      </c>
      <c r="R45" s="113">
        <f t="shared" si="12"/>
        <v>2000</v>
      </c>
      <c r="S45" s="81"/>
      <c r="T45" s="175"/>
      <c r="U45" s="173">
        <f>((V37/5)*O45)-R45</f>
        <v>16753.48081</v>
      </c>
      <c r="V45" s="32"/>
      <c r="W45" s="176">
        <f t="shared" si="10"/>
        <v>8376.740404</v>
      </c>
      <c r="X45" s="75">
        <f t="shared" si="11"/>
        <v>8376.740404</v>
      </c>
      <c r="Y45" s="78"/>
    </row>
    <row r="46" ht="14.25" customHeight="1">
      <c r="M46" s="78" t="s">
        <v>318</v>
      </c>
      <c r="N46" s="89"/>
      <c r="O46" s="174">
        <v>2.0</v>
      </c>
      <c r="P46" s="174"/>
      <c r="Q46" s="80">
        <v>0.4</v>
      </c>
      <c r="R46" s="113">
        <f t="shared" si="12"/>
        <v>4000</v>
      </c>
      <c r="S46" s="81"/>
      <c r="T46" s="175"/>
      <c r="U46" s="177">
        <v>40000.0</v>
      </c>
      <c r="V46" s="32"/>
      <c r="W46" s="176">
        <f t="shared" si="10"/>
        <v>20000</v>
      </c>
      <c r="X46" s="75">
        <f t="shared" si="11"/>
        <v>20000</v>
      </c>
      <c r="Y46" s="78"/>
    </row>
    <row r="47" ht="14.25" customHeight="1">
      <c r="M47" s="78" t="s">
        <v>319</v>
      </c>
      <c r="N47" s="89"/>
      <c r="O47" s="80">
        <v>0.5</v>
      </c>
      <c r="P47" s="80"/>
      <c r="Q47" s="80">
        <v>0.1</v>
      </c>
      <c r="R47" s="113">
        <f t="shared" si="12"/>
        <v>1000</v>
      </c>
      <c r="S47" s="81"/>
      <c r="T47" s="175"/>
      <c r="U47" s="173">
        <f>((V37/5)*O47)-R47</f>
        <v>8376.740404</v>
      </c>
      <c r="V47" s="32"/>
      <c r="W47" s="176">
        <f t="shared" si="10"/>
        <v>4188.370202</v>
      </c>
      <c r="X47" s="75">
        <f t="shared" si="11"/>
        <v>4188.370202</v>
      </c>
      <c r="Y47" s="78"/>
    </row>
    <row r="48" ht="14.25" customHeight="1">
      <c r="M48" s="78"/>
      <c r="N48" s="78"/>
      <c r="O48" s="80"/>
      <c r="P48" s="80"/>
      <c r="Q48" s="80"/>
      <c r="R48" s="113">
        <f t="shared" si="12"/>
        <v>0</v>
      </c>
      <c r="S48" s="78"/>
      <c r="T48" s="78"/>
      <c r="U48" s="4"/>
      <c r="V48" s="32"/>
      <c r="W48" s="176">
        <f t="shared" si="10"/>
        <v>0</v>
      </c>
      <c r="X48" s="75">
        <f t="shared" si="11"/>
        <v>0</v>
      </c>
      <c r="Y48" s="78"/>
    </row>
    <row r="49" ht="14.25" customHeight="1">
      <c r="M49" s="78" t="s">
        <v>320</v>
      </c>
      <c r="N49" s="78"/>
      <c r="O49" s="174">
        <v>3.0</v>
      </c>
      <c r="P49" s="174"/>
      <c r="Q49" s="80">
        <v>0.6</v>
      </c>
      <c r="R49" s="113">
        <f t="shared" si="12"/>
        <v>6000</v>
      </c>
      <c r="S49" s="78"/>
      <c r="T49" s="175"/>
      <c r="U49" s="75">
        <f>((V37/5)*O49)-R49</f>
        <v>50260.44242</v>
      </c>
      <c r="V49" s="32"/>
      <c r="W49" s="176">
        <f t="shared" si="10"/>
        <v>25130.22121</v>
      </c>
      <c r="X49" s="75">
        <f t="shared" si="11"/>
        <v>25130.22121</v>
      </c>
      <c r="Y49" s="78"/>
    </row>
    <row r="50" ht="14.25" customHeight="1">
      <c r="M50" s="78" t="s">
        <v>321</v>
      </c>
      <c r="N50" s="78"/>
      <c r="O50" s="178">
        <v>0.5</v>
      </c>
      <c r="P50" s="174"/>
      <c r="Q50" s="80">
        <v>0.1</v>
      </c>
      <c r="R50" s="113">
        <f t="shared" si="12"/>
        <v>1000</v>
      </c>
      <c r="S50" s="81"/>
      <c r="T50" s="175"/>
      <c r="U50" s="173">
        <f>((V37/5)*O50)-R50</f>
        <v>8376.740404</v>
      </c>
      <c r="V50" s="32"/>
      <c r="W50" s="176">
        <f t="shared" si="10"/>
        <v>4188.370202</v>
      </c>
      <c r="X50" s="75">
        <f t="shared" si="11"/>
        <v>4188.370202</v>
      </c>
      <c r="Y50" s="78"/>
    </row>
    <row r="51" ht="14.25" customHeight="1">
      <c r="M51" s="179" t="s">
        <v>224</v>
      </c>
      <c r="N51" s="146"/>
      <c r="O51" s="180">
        <v>1.0</v>
      </c>
      <c r="P51" s="181"/>
      <c r="Q51" s="182">
        <v>0.2</v>
      </c>
      <c r="R51" s="183">
        <f>(10000/5)*O51</f>
        <v>2000</v>
      </c>
      <c r="S51" s="146"/>
      <c r="T51" s="184"/>
      <c r="U51" s="119">
        <f>((V37/5)*O51)-R51</f>
        <v>16753.48081</v>
      </c>
      <c r="V51" s="32"/>
      <c r="W51" s="176">
        <f t="shared" si="10"/>
        <v>8376.740404</v>
      </c>
      <c r="X51" s="75">
        <f t="shared" si="11"/>
        <v>8376.740404</v>
      </c>
      <c r="Y51" s="78"/>
    </row>
    <row r="52" ht="14.25" customHeight="1">
      <c r="M52" s="78"/>
      <c r="N52" s="78"/>
      <c r="O52" s="185">
        <f>SUM(O42:O51)-O43-O44</f>
        <v>13</v>
      </c>
      <c r="P52" s="89"/>
      <c r="Q52" s="89">
        <f>SUM(Q42:Q51)</f>
        <v>3</v>
      </c>
      <c r="R52" s="186"/>
      <c r="S52" s="89"/>
      <c r="T52" s="89"/>
      <c r="U52" s="187"/>
      <c r="V52" s="188"/>
      <c r="W52" s="75">
        <f t="shared" ref="W52:X52" si="13">SUM(W42:W51)</f>
        <v>135280.0122</v>
      </c>
      <c r="X52" s="75">
        <f t="shared" si="13"/>
        <v>135280.0122</v>
      </c>
      <c r="Y52" s="89"/>
    </row>
    <row r="53" ht="14.25" customHeight="1">
      <c r="M53" s="78"/>
      <c r="N53" s="78"/>
      <c r="O53" s="78"/>
      <c r="P53" s="78"/>
      <c r="Q53" s="78"/>
      <c r="R53" s="113"/>
      <c r="S53" s="78"/>
      <c r="T53" s="78"/>
      <c r="U53" s="189"/>
      <c r="V53" s="32"/>
      <c r="W53" s="32"/>
      <c r="X53" s="32"/>
      <c r="Y53" s="78"/>
    </row>
    <row r="54" ht="18.0" customHeight="1">
      <c r="M54" s="78" t="s">
        <v>322</v>
      </c>
      <c r="N54" s="78"/>
      <c r="O54" s="78"/>
      <c r="P54" s="78"/>
      <c r="Q54" s="78"/>
      <c r="R54" s="111">
        <f>SUM(R42:R53)-R43-R44</f>
        <v>26000</v>
      </c>
      <c r="S54" s="78"/>
      <c r="T54" s="78"/>
      <c r="U54" s="190">
        <f>SUM(U42:U53)</f>
        <v>270560.0244</v>
      </c>
      <c r="V54" s="32"/>
      <c r="W54" s="32"/>
      <c r="X54" s="32"/>
      <c r="Y54" s="78"/>
    </row>
    <row r="55" ht="14.25" customHeight="1">
      <c r="M55" s="89" t="s">
        <v>323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ht="14.25" customHeight="1"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M34:X34"/>
    <mergeCell ref="M35:X35"/>
  </mergeCells>
  <printOptions/>
  <pageMargins bottom="0.75" footer="0.0" header="0.0" left="0.7" right="0.7" top="0.75"/>
  <pageSetup orientation="landscape"/>
  <rowBreaks count="1" manualBreakCount="1">
    <brk id="32" man="1"/>
  </rowBreaks>
  <colBreaks count="1" manualBreakCount="1">
    <brk id="12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hogans</dc:creator>
</cp:coreProperties>
</file>